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65521" windowWidth="14310" windowHeight="9240" firstSheet="2" activeTab="2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A5" sheetId="14" r:id="rId14"/>
    <sheet name="Spielereinsatzliste B1" sheetId="15" r:id="rId15"/>
    <sheet name="Spielereinsatzliste B2" sheetId="16" r:id="rId16"/>
    <sheet name="Spielereinsatzliste B3" sheetId="17" r:id="rId17"/>
    <sheet name="Spielereinsatzliste B4" sheetId="18" r:id="rId18"/>
    <sheet name="Spielereinsatzliste B5" sheetId="19" r:id="rId19"/>
    <sheet name="Mannschaftsaufstellungen" sheetId="20" r:id="rId20"/>
    <sheet name="Siegerliste" sheetId="21" r:id="rId21"/>
    <sheet name="geografische Verteilung" sheetId="22" r:id="rId22"/>
    <sheet name="Abrechnung" sheetId="23" r:id="rId23"/>
  </sheets>
  <externalReferences>
    <externalReference r:id="rId26"/>
  </externalReferences>
  <definedNames>
    <definedName name="_xlnm.Print_Area" localSheetId="0">'Anleitung'!$A$1:$AK$55</definedName>
    <definedName name="_xlnm.Print_Area" localSheetId="21">'geografische Verteilung'!$A$1:$H$45</definedName>
    <definedName name="_xlnm.Print_Area" localSheetId="7">'Gruppe A'!$A$1:$AR$35</definedName>
    <definedName name="_xlnm.Print_Area" localSheetId="2">'Mannschaften'!$A$1:$AQ$159</definedName>
    <definedName name="_xlnm.Print_Area" localSheetId="20">'Siegerliste'!$A$1:$H$21</definedName>
    <definedName name="_xlnm.Print_Area" localSheetId="6">'Spielbericht'!$A$1:$AH$42</definedName>
    <definedName name="_xlnm.Print_Area" localSheetId="4">'Spielplan-Sa'!$B$1:$Y$56</definedName>
    <definedName name="_xlnm.Print_Area" localSheetId="5">'Spielplan-So'!$A$1:$V$39</definedName>
    <definedName name="Mannschaft">'Mannschaften'!$C$11:$AP$11</definedName>
    <definedName name="PlanS">'Spielplan-Sa'!$A$20:$Y$56</definedName>
    <definedName name="Spieler">'Mannschaften'!$C$14:$E$142</definedName>
    <definedName name="Spielplan">'[1]Spielpl'!$A$14:$M$31</definedName>
    <definedName name="Z_E04F9305_80BC_40B2_992B_1B750C9B7218_.wvu.Cols" localSheetId="7" hidden="1">'Gruppe A'!$AM:$AQ</definedName>
    <definedName name="Z_E04F9305_80BC_40B2_992B_1B750C9B7218_.wvu.Cols" localSheetId="8" hidden="1">'Gruppe B'!$AM:$AQ</definedName>
    <definedName name="Z_E04F9305_80BC_40B2_992B_1B750C9B7218_.wvu.Cols" localSheetId="3" hidden="1">'Leitung und Ort'!$B:$B</definedName>
    <definedName name="Z_E04F9305_80BC_40B2_992B_1B750C9B7218_.wvu.Cols" localSheetId="2" hidden="1">'Mannschaften'!$B:$B,'Mannschaften'!$AC:$AQ</definedName>
    <definedName name="Z_E04F9305_80BC_40B2_992B_1B750C9B7218_.wvu.Cols" localSheetId="6" hidden="1">'Spielbericht'!$D:$D,'Spielbericht'!$U:$U,'Spielbericht'!$AM:$AP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'Anleitung'!$A$1:$AK$55</definedName>
    <definedName name="Z_E04F9305_80BC_40B2_992B_1B750C9B7218_.wvu.PrintArea" localSheetId="21" hidden="1">'geografische Verteilung'!$A$1:$H$45</definedName>
    <definedName name="Z_E04F9305_80BC_40B2_992B_1B750C9B7218_.wvu.PrintArea" localSheetId="7" hidden="1">'Gruppe A'!$A$1:$AR$35</definedName>
    <definedName name="Z_E04F9305_80BC_40B2_992B_1B750C9B7218_.wvu.PrintArea" localSheetId="2" hidden="1">'Mannschaften'!$A$1:$AQ$159</definedName>
    <definedName name="Z_E04F9305_80BC_40B2_992B_1B750C9B7218_.wvu.PrintArea" localSheetId="20" hidden="1">'Siegerliste'!$A$1:$H$30</definedName>
    <definedName name="Z_E04F9305_80BC_40B2_992B_1B750C9B7218_.wvu.PrintArea" localSheetId="6" hidden="1">'Spielbericht'!$A$1:$AH$42</definedName>
    <definedName name="Z_E04F9305_80BC_40B2_992B_1B750C9B7218_.wvu.PrintArea" localSheetId="4" hidden="1">'Spielplan-Sa'!$B$1:$Y$56</definedName>
    <definedName name="Z_E04F9305_80BC_40B2_992B_1B750C9B7218_.wvu.PrintArea" localSheetId="5" hidden="1">'Spielplan-So'!$A$1:$V$39</definedName>
    <definedName name="Z_E04F9305_80BC_40B2_992B_1B750C9B7218_.wvu.Rows" localSheetId="7" hidden="1">'Gruppe A'!$26:$28</definedName>
    <definedName name="Z_E04F9305_80BC_40B2_992B_1B750C9B7218_.wvu.Rows" localSheetId="8" hidden="1">'Gruppe B'!$26:$28</definedName>
    <definedName name="Z_E04F9305_80BC_40B2_992B_1B750C9B7218_.wvu.Rows" localSheetId="2" hidden="1">'Mannschaften'!$13:$13,'Mannschaften'!$27:$142,'Mannschaften'!$160:$176</definedName>
    <definedName name="Z_E04F9305_80BC_40B2_992B_1B750C9B7218_.wvu.Rows" localSheetId="6" hidden="1">'Spielbericht'!$13:$13</definedName>
    <definedName name="Z_E04F9305_80BC_40B2_992B_1B750C9B7218_.wvu.Rows" localSheetId="9" hidden="1">'Spielereinsatzliste A1'!$28:$66</definedName>
    <definedName name="Z_E04F9305_80BC_40B2_992B_1B750C9B7218_.wvu.Rows" localSheetId="10" hidden="1">'Spielereinsatzliste A2'!$28:$66</definedName>
    <definedName name="Z_E04F9305_80BC_40B2_992B_1B750C9B7218_.wvu.Rows" localSheetId="11" hidden="1">'Spielereinsatzliste A3'!$28:$66</definedName>
    <definedName name="Z_E04F9305_80BC_40B2_992B_1B750C9B7218_.wvu.Rows" localSheetId="12" hidden="1">'Spielereinsatzliste A4'!$28:$66</definedName>
    <definedName name="Z_E04F9305_80BC_40B2_992B_1B750C9B7218_.wvu.Rows" localSheetId="13" hidden="1">'Spielereinsatzliste A5'!$28:$66</definedName>
    <definedName name="Z_E04F9305_80BC_40B2_992B_1B750C9B7218_.wvu.Rows" localSheetId="14" hidden="1">'Spielereinsatzliste B1'!$28:$66</definedName>
    <definedName name="Z_E04F9305_80BC_40B2_992B_1B750C9B7218_.wvu.Rows" localSheetId="15" hidden="1">'Spielereinsatzliste B2'!$28:$66</definedName>
    <definedName name="Z_E04F9305_80BC_40B2_992B_1B750C9B7218_.wvu.Rows" localSheetId="16" hidden="1">'Spielereinsatzliste B3'!$28:$66</definedName>
    <definedName name="Z_E04F9305_80BC_40B2_992B_1B750C9B7218_.wvu.Rows" localSheetId="17" hidden="1">'Spielereinsatzliste B4'!$28:$66</definedName>
    <definedName name="Z_E04F9305_80BC_40B2_992B_1B750C9B7218_.wvu.Rows" localSheetId="18" hidden="1">'Spielereinsatzliste B5'!$28:$66</definedName>
    <definedName name="Z_E04F9305_80BC_40B2_992B_1B750C9B7218_.wvu.Rows" localSheetId="4" hidden="1">'Spielplan-Sa'!$15:$16,'Spielplan-Sa'!$40:$56</definedName>
  </definedNames>
  <calcPr fullCalcOnLoad="1"/>
</workbook>
</file>

<file path=xl/sharedStrings.xml><?xml version="1.0" encoding="utf-8"?>
<sst xmlns="http://schemas.openxmlformats.org/spreadsheetml/2006/main" count="1304" uniqueCount="381">
  <si>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</si>
  <si>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</si>
  <si>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</si>
  <si>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</si>
  <si>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</si>
  <si>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</si>
  <si>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</si>
  <si>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</si>
  <si>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</si>
  <si>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</si>
  <si>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</si>
  <si>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</si>
  <si>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</si>
  <si>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</si>
  <si>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</si>
  <si>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</si>
  <si>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</si>
  <si>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</si>
  <si>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</si>
  <si>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</si>
  <si>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</si>
  <si>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</si>
  <si>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</si>
  <si>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</si>
  <si>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</si>
  <si>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</si>
  <si>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</si>
  <si>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</si>
  <si>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</si>
  <si>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</si>
  <si>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</si>
  <si>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</si>
  <si>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</si>
  <si>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</si>
  <si>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</si>
  <si>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</si>
  <si>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</si>
  <si>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</si>
  <si>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</si>
  <si>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</si>
  <si>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</si>
  <si>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</si>
  <si>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</si>
  <si>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</si>
  <si>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</si>
  <si>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</si>
  <si>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</si>
  <si>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</si>
  <si>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</si>
  <si>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</si>
  <si>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</si>
  <si>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</si>
  <si>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</si>
  <si>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</si>
  <si>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</si>
  <si>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</si>
  <si>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</si>
  <si>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</si>
  <si>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</si>
  <si>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</si>
  <si>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</si>
  <si>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</si>
  <si>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</si>
  <si>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</si>
  <si>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</si>
  <si>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</si>
  <si>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</si>
  <si>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</si>
  <si>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</si>
  <si>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</si>
  <si>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</si>
  <si>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Verlierer Spiel 27</t>
  </si>
  <si>
    <t>Verlierer Spiel 28</t>
  </si>
  <si>
    <t>Sieger Spiel 27</t>
  </si>
  <si>
    <t>Sieger Spiel 28</t>
  </si>
  <si>
    <t>Platzierung</t>
  </si>
  <si>
    <t>Qualifikation</t>
  </si>
  <si>
    <t>Schiedsrichter</t>
  </si>
  <si>
    <t>10.</t>
  </si>
  <si>
    <t>Siegerliste</t>
  </si>
  <si>
    <t>Mannschaftsaufstellungen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</si>
  <si>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</si>
  <si>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</si>
  <si>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</si>
  <si>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</si>
  <si>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</si>
  <si>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</si>
  <si>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</si>
  <si>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</si>
  <si>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</si>
  <si>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</si>
  <si>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</si>
  <si>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</si>
  <si>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</si>
  <si>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</si>
  <si>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</si>
  <si>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</si>
  <si>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</si>
  <si>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</si>
  <si>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</si>
  <si>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</si>
  <si>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</si>
  <si>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</si>
  <si>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</si>
  <si>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</si>
  <si>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</si>
  <si>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</si>
  <si>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</si>
  <si>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</si>
  <si>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</si>
  <si>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</si>
  <si>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</si>
  <si>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</si>
  <si>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</si>
  <si>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</si>
  <si>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</si>
  <si>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</si>
  <si>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</si>
  <si>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</si>
  <si>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</si>
  <si>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</si>
  <si>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</si>
  <si>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</si>
  <si>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</si>
  <si>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</si>
  <si>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</si>
  <si>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</si>
  <si>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</si>
  <si>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</si>
  <si>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</si>
  <si>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</si>
  <si>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</si>
  <si>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</si>
  <si>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</si>
  <si>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</si>
  <si>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</si>
  <si>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</si>
  <si>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</si>
  <si>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</si>
  <si>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</si>
  <si>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</si>
  <si>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</si>
  <si>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</si>
  <si>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Anschreiber/</t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</si>
  <si>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</si>
  <si>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</si>
  <si>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</si>
  <si>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</si>
  <si>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Spielerpass-Nr.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</si>
  <si>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</si>
  <si>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</si>
  <si>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</si>
  <si>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</si>
  <si>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</si>
  <si>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</si>
  <si>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</si>
  <si>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</si>
  <si>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</si>
  <si>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</si>
  <si>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</si>
  <si>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</si>
  <si>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</si>
  <si>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</si>
  <si>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</si>
  <si>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</si>
  <si>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</si>
  <si>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</si>
  <si>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</si>
  <si>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</si>
  <si>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</si>
  <si>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</si>
  <si>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</si>
  <si>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</si>
  <si>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</si>
  <si>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</si>
  <si>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</si>
  <si>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</si>
  <si>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</si>
  <si>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Die weiteren Felder in den obigen Tabellenblättern sind gesperrt. </t>
  </si>
  <si>
    <t>Ist eine Änderung nötig, ist zuerst der Blattschutz für das entsprechende Blatt aufzuheben.</t>
  </si>
  <si>
    <t>Reisekostenabrechnung</t>
  </si>
  <si>
    <t>Schiedsrichter und Offizielle</t>
  </si>
  <si>
    <t>lfd.</t>
  </si>
  <si>
    <t>Funktion:</t>
  </si>
  <si>
    <t>D = Delegierter</t>
  </si>
  <si>
    <t>Vorname</t>
  </si>
  <si>
    <t>PLZ</t>
  </si>
  <si>
    <t>Funktion</t>
  </si>
  <si>
    <t>Beginn</t>
  </si>
  <si>
    <t>Ende</t>
  </si>
  <si>
    <t>Kennzi</t>
  </si>
  <si>
    <t>der Reise</t>
  </si>
  <si>
    <t>1 - 3</t>
  </si>
  <si>
    <t>PKW</t>
  </si>
  <si>
    <t>km ges.</t>
  </si>
  <si>
    <t>km</t>
  </si>
  <si>
    <t>Fahrt-</t>
  </si>
  <si>
    <t>kosten</t>
  </si>
  <si>
    <t>Tagegeld</t>
  </si>
  <si>
    <t>Gesamt</t>
  </si>
  <si>
    <t>Euro</t>
  </si>
  <si>
    <t>S = Schiedsrichter</t>
  </si>
  <si>
    <t>Nebenk</t>
  </si>
  <si>
    <t>4 - 5</t>
  </si>
  <si>
    <t>Unterschrift
bei Empfang</t>
  </si>
  <si>
    <t>Gesamt/Übertrag:</t>
  </si>
  <si>
    <t>Ich bestätige die Richtigkeit der Angaben und dass die Originalbelege vorgelegen haben.</t>
  </si>
  <si>
    <t>4 = Straßenbahn/Bus
5 = Taxi (nur mit Beleg u. Begründung)</t>
  </si>
  <si>
    <t>Unterschrift Veranstaltungsleiter:________________________________________________</t>
  </si>
  <si>
    <t>Zahl Mitf</t>
  </si>
  <si>
    <t>Strasse</t>
  </si>
  <si>
    <t>Wohnort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</si>
  <si>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</si>
  <si>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</si>
  <si>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</si>
  <si>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</si>
  <si>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</si>
  <si>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</si>
  <si>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</si>
  <si>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</si>
  <si>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</si>
  <si>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</si>
  <si>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 xml:space="preserve">  8.</t>
  </si>
  <si>
    <t xml:space="preserve">  9.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</si>
  <si>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</si>
  <si>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</si>
  <si>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</si>
  <si>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</si>
  <si>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</si>
  <si>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</si>
  <si>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</si>
  <si>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</si>
  <si>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</si>
  <si>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</si>
  <si>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</si>
  <si>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</si>
  <si>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</si>
  <si>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</si>
  <si>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</si>
  <si>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</si>
  <si>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</si>
  <si>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</si>
  <si>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</si>
  <si>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</si>
  <si>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</si>
  <si>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</si>
  <si>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</si>
  <si>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</si>
  <si>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</si>
  <si>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</si>
  <si>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</si>
  <si>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</si>
  <si>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</si>
  <si>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</si>
  <si>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</si>
  <si>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</si>
  <si>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</si>
  <si>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</si>
  <si>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A5</t>
  </si>
  <si>
    <t>B2</t>
  </si>
  <si>
    <t>B3</t>
  </si>
  <si>
    <t>B4</t>
  </si>
  <si>
    <t>B5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</si>
  <si>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</si>
  <si>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</si>
  <si>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</si>
  <si>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</si>
  <si>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</si>
  <si>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</si>
  <si>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</si>
  <si>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</si>
  <si>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</si>
  <si>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</si>
  <si>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</si>
  <si>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</si>
  <si>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</si>
  <si>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</si>
  <si>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</si>
  <si>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</si>
  <si>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</si>
  <si>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</si>
  <si>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</si>
  <si>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</si>
  <si>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</si>
  <si>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</si>
  <si>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</si>
  <si>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</si>
  <si>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</si>
  <si>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</si>
  <si>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</si>
  <si>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</si>
  <si>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</si>
  <si>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</si>
  <si>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</si>
  <si>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</si>
  <si>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</si>
  <si>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</si>
  <si>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Für jedes Spiel dürfen bis zu 3 Bälle vom gleichen Hersteller und Balltyp aufgelegt werden.</t>
  </si>
  <si>
    <t>Veranstalter: Deutsche Faustball-Liga</t>
  </si>
  <si>
    <t>1 = Bahnpreis 2. Kl
2 = PKW 0,20/0,23 €/km
3 = Mitfahrer/in 0,02 €/km</t>
  </si>
  <si>
    <t>24,-/25,-</t>
  </si>
  <si>
    <t>Es sind nur die von der DFBL zugelassenen Spielgeräte erlaubt.</t>
  </si>
  <si>
    <t>* = ohne Übernachtung</t>
  </si>
  <si>
    <t>Platzierung bei der LM/RM</t>
  </si>
  <si>
    <t>Bei Regionalmeisterschaften können die Spiele um Platz 7 bis 10 entfallen.</t>
  </si>
  <si>
    <t>für Regional- oder Deutsche Meisterschaften</t>
  </si>
  <si>
    <t>um Regional- oder Deutsche Meisterschaften</t>
  </si>
  <si>
    <t>c) Ein Satz ist gewonnen, sobald eine Mannschaft 11 Gutbälle bei einer Differenz von mindestens</t>
  </si>
  <si>
    <t>d) Vor einem notwendig werdenden dritten Satz wird neu gelost. Sobald eine Mannschaft 6 Gutbälle</t>
  </si>
  <si>
    <t>e) Kampflos gewonnene Spiele werden mit 2:0 Sätzen und 22:0 Bällen gewertet.</t>
  </si>
  <si>
    <t>a) Es wird nach Gewinnsätzen gespielt.</t>
  </si>
  <si>
    <t>b) Ein Spiel ist beendet, sobald eine Mannschaft zwei Sätze gewonnen hat.</t>
  </si>
  <si>
    <t>Zusätzlich dürfen bis zu 3 Nassbälle vom gleichen Hersteller und Balltyp aufgelegt werden.</t>
  </si>
  <si>
    <t>Ausrichter</t>
  </si>
  <si>
    <t>* 0</t>
  </si>
  <si>
    <t>*1.000</t>
  </si>
  <si>
    <t>*100.000</t>
  </si>
  <si>
    <t>*1.000.000</t>
  </si>
  <si>
    <t>*10.000.000</t>
  </si>
  <si>
    <t>höh Anz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</si>
  <si>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</si>
  <si>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</si>
  <si>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</si>
  <si>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</si>
  <si>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</si>
  <si>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</si>
  <si>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10) der Losentscheid.</t>
  </si>
  <si>
    <t>9) die höhere Zahl der erzielten Gutbälle aus den Spielen der punktgleichen Mannschaften untereinander,</t>
  </si>
  <si>
    <t>West</t>
  </si>
  <si>
    <t>Nord</t>
  </si>
  <si>
    <t>Süd</t>
  </si>
  <si>
    <t>Ost</t>
  </si>
  <si>
    <t>Startplätze</t>
  </si>
  <si>
    <t>Hans Mustermann</t>
  </si>
  <si>
    <t>Musterweg 1</t>
  </si>
  <si>
    <t>12345 Musterstadt</t>
  </si>
  <si>
    <t>Tel: 01234/56789</t>
  </si>
  <si>
    <t>Mobil: 012345/56789</t>
  </si>
  <si>
    <t>hans.mustermann@web.de</t>
  </si>
  <si>
    <t>Sportplkatz Musterstadt</t>
  </si>
  <si>
    <t>Musterstraße 1</t>
  </si>
  <si>
    <t>Tel.:  Hans Mustermann s.o.</t>
  </si>
  <si>
    <t>Balldifferenz</t>
  </si>
  <si>
    <t>Sind dabei Mannschaften punktgleich und sind Satzdifferenz und Anzahl der Sätze sowie</t>
  </si>
  <si>
    <t>Tabellenblatt Spielplan-Sa folgende Meldung eingeblendet:</t>
  </si>
  <si>
    <t>Balldifferenz und Anzahl der Bälle aus allen Spielen der Spielrunde gleich, wird im</t>
  </si>
  <si>
    <t xml:space="preserve">Mit Eintragung des jeweils letzten Spielergebnisses der Gruppe (Gruppe A = Spiel 19, </t>
  </si>
  <si>
    <t>West 1</t>
  </si>
  <si>
    <t>Süd 1</t>
  </si>
  <si>
    <t>Ost 2</t>
  </si>
  <si>
    <t>Ost 1</t>
  </si>
  <si>
    <t>Süd 2</t>
  </si>
  <si>
    <t>Nord 1</t>
  </si>
  <si>
    <t>Nord 2</t>
  </si>
  <si>
    <t>anschl.</t>
  </si>
  <si>
    <t>kleine Siegerehrung</t>
  </si>
  <si>
    <t>Spielposition</t>
  </si>
  <si>
    <t>3.Gruppe A</t>
  </si>
  <si>
    <t xml:space="preserve"> Deutsche Meisterschaft der Jugend  Feld   2019</t>
  </si>
  <si>
    <t>m U18</t>
  </si>
  <si>
    <t>Hallerstein</t>
  </si>
  <si>
    <t>TSV Hallerstein</t>
  </si>
  <si>
    <t>Süd 3</t>
  </si>
  <si>
    <t>TV Hallerstein</t>
  </si>
  <si>
    <t>NlV Stuttgart</t>
  </si>
  <si>
    <t>TV Vaihingen/Enz</t>
  </si>
  <si>
    <t>TV Segnitz</t>
  </si>
  <si>
    <t>TuS Wickrath</t>
  </si>
  <si>
    <t>Nord 3</t>
  </si>
  <si>
    <t>TB Oppau</t>
  </si>
  <si>
    <t>Ahlhorner SV</t>
  </si>
  <si>
    <t>TV Brettorf</t>
  </si>
  <si>
    <t>Leppert, Maximilian</t>
  </si>
  <si>
    <t>Hoverath, Maximilian</t>
  </si>
  <si>
    <t>Schiffer, Lukas</t>
  </si>
  <si>
    <t>Kellers, Jan</t>
  </si>
  <si>
    <t>Stepprath, Niklas</t>
  </si>
  <si>
    <t>Schiffer, Markus</t>
  </si>
  <si>
    <t>Leppert, Sebastian</t>
  </si>
  <si>
    <t>Berliner Turnerschaft</t>
  </si>
  <si>
    <t>TSV Lola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</si>
</sst>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  <numFmt numFmtId="179" formatCode="0_ ;\-0\ "/>
  </numFmts>
  <fonts count="8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2"/>
    </font>
    <font>
      <b/>
      <sz val="12"/>
      <name val="FuturaA Bk BT"/>
      <family val="0"/>
    </font>
    <font>
      <b/>
      <sz val="12"/>
      <color indexed="9"/>
      <name val="Arial"/>
      <family val="2"/>
    </font>
    <font>
      <sz val="9"/>
      <color indexed="8"/>
      <name val="Trebuchet MS"/>
      <family val="2"/>
    </font>
    <font>
      <b/>
      <sz val="13"/>
      <color indexed="9"/>
      <name val="Arial"/>
      <family val="2"/>
    </font>
    <font>
      <b/>
      <sz val="10"/>
      <color indexed="8"/>
      <name val="Arial"/>
      <family val="2"/>
    </font>
    <font>
      <sz val="17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1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thick"/>
      <right style="thin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5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6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1" borderId="9" applyNumberFormat="0" applyAlignment="0" applyProtection="0"/>
  </cellStyleXfs>
  <cellXfs count="12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25" fillId="0" borderId="0" xfId="0" applyFont="1" applyAlignment="1">
      <alignment/>
    </xf>
    <xf numFmtId="0" fontId="1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3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9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3" fillId="33" borderId="37" xfId="0" applyFont="1" applyFill="1" applyBorder="1" applyAlignment="1" applyProtection="1">
      <alignment horizontal="left" vertical="center"/>
      <protection locked="0"/>
    </xf>
    <xf numFmtId="0" fontId="33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33" fillId="33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4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 locked="0"/>
    </xf>
    <xf numFmtId="0" fontId="1" fillId="33" borderId="49" xfId="0" applyNumberFormat="1" applyFont="1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Continuous" vertical="center"/>
      <protection locked="0"/>
    </xf>
    <xf numFmtId="0" fontId="0" fillId="35" borderId="51" xfId="0" applyFont="1" applyFill="1" applyBorder="1" applyAlignment="1" applyProtection="1">
      <alignment horizontal="centerContinuous" vertical="center"/>
      <protection locked="0"/>
    </xf>
    <xf numFmtId="0" fontId="1" fillId="33" borderId="51" xfId="0" applyFont="1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centerContinuous" vertical="center"/>
      <protection locked="0"/>
    </xf>
    <xf numFmtId="0" fontId="1" fillId="33" borderId="52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9" fillId="33" borderId="58" xfId="0" applyFont="1" applyFill="1" applyBorder="1" applyAlignment="1" applyProtection="1">
      <alignment horizontal="center"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33" borderId="60" xfId="0" applyFont="1" applyFill="1" applyBorder="1" applyAlignment="1" applyProtection="1">
      <alignment horizontal="center"/>
      <protection locked="0"/>
    </xf>
    <xf numFmtId="0" fontId="9" fillId="33" borderId="6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33" borderId="62" xfId="0" applyFont="1" applyFill="1" applyBorder="1" applyAlignment="1" applyProtection="1">
      <alignment horizontal="center"/>
      <protection locked="0"/>
    </xf>
    <xf numFmtId="0" fontId="9" fillId="33" borderId="63" xfId="0" applyFont="1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33" borderId="67" xfId="0" applyFill="1" applyBorder="1" applyAlignment="1" applyProtection="1">
      <alignment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49" fontId="34" fillId="0" borderId="0" xfId="50" applyNumberFormat="1" applyAlignment="1" applyProtection="1">
      <alignment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8" xfId="0" applyFont="1" applyFill="1" applyBorder="1" applyAlignment="1" applyProtection="1">
      <alignment horizont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left"/>
      <protection/>
    </xf>
    <xf numFmtId="0" fontId="22" fillId="0" borderId="71" xfId="0" applyFont="1" applyFill="1" applyBorder="1" applyAlignment="1" applyProtection="1">
      <alignment horizontal="center"/>
      <protection/>
    </xf>
    <xf numFmtId="0" fontId="22" fillId="0" borderId="72" xfId="0" applyFont="1" applyFill="1" applyBorder="1" applyAlignment="1" applyProtection="1">
      <alignment horizontal="center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37" borderId="68" xfId="0" applyFont="1" applyFill="1" applyBorder="1" applyAlignment="1" applyProtection="1">
      <alignment horizontal="center"/>
      <protection/>
    </xf>
    <xf numFmtId="0" fontId="22" fillId="37" borderId="69" xfId="0" applyFont="1" applyFill="1" applyBorder="1" applyAlignment="1" applyProtection="1">
      <alignment horizontal="center"/>
      <protection/>
    </xf>
    <xf numFmtId="0" fontId="22" fillId="37" borderId="75" xfId="0" applyFont="1" applyFill="1" applyBorder="1" applyAlignment="1" applyProtection="1">
      <alignment horizontal="center"/>
      <protection/>
    </xf>
    <xf numFmtId="0" fontId="22" fillId="37" borderId="76" xfId="0" applyFont="1" applyFill="1" applyBorder="1" applyAlignment="1" applyProtection="1">
      <alignment horizontal="center"/>
      <protection/>
    </xf>
    <xf numFmtId="0" fontId="22" fillId="0" borderId="77" xfId="0" applyFont="1" applyFill="1" applyBorder="1" applyAlignment="1" applyProtection="1">
      <alignment horizontal="left"/>
      <protection/>
    </xf>
    <xf numFmtId="0" fontId="26" fillId="0" borderId="78" xfId="0" applyFont="1" applyBorder="1" applyAlignment="1" applyProtection="1">
      <alignment/>
      <protection/>
    </xf>
    <xf numFmtId="0" fontId="26" fillId="0" borderId="79" xfId="0" applyFont="1" applyBorder="1" applyAlignment="1" applyProtection="1">
      <alignment/>
      <protection/>
    </xf>
    <xf numFmtId="0" fontId="26" fillId="0" borderId="80" xfId="0" applyFont="1" applyFill="1" applyBorder="1" applyAlignment="1" applyProtection="1">
      <alignment horizontal="center"/>
      <protection/>
    </xf>
    <xf numFmtId="0" fontId="26" fillId="0" borderId="81" xfId="0" applyFont="1" applyFill="1" applyBorder="1" applyAlignment="1" applyProtection="1">
      <alignment horizontal="center"/>
      <protection/>
    </xf>
    <xf numFmtId="0" fontId="26" fillId="0" borderId="8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8" fillId="0" borderId="69" xfId="0" applyFont="1" applyBorder="1" applyAlignment="1" applyProtection="1">
      <alignment horizontal="center"/>
      <protection/>
    </xf>
    <xf numFmtId="0" fontId="28" fillId="0" borderId="72" xfId="0" applyFont="1" applyBorder="1" applyAlignment="1" applyProtection="1">
      <alignment horizontal="center"/>
      <protection/>
    </xf>
    <xf numFmtId="0" fontId="28" fillId="0" borderId="74" xfId="0" applyFont="1" applyBorder="1" applyAlignment="1" applyProtection="1">
      <alignment horizontal="center"/>
      <protection/>
    </xf>
    <xf numFmtId="0" fontId="28" fillId="0" borderId="69" xfId="0" applyFont="1" applyBorder="1" applyAlignment="1" applyProtection="1">
      <alignment horizontal="left"/>
      <protection/>
    </xf>
    <xf numFmtId="0" fontId="28" fillId="0" borderId="7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9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 horizontal="right"/>
      <protection/>
    </xf>
    <xf numFmtId="0" fontId="0" fillId="0" borderId="85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69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49" fontId="0" fillId="0" borderId="88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8" fillId="0" borderId="89" xfId="0" applyFont="1" applyBorder="1" applyAlignment="1" applyProtection="1">
      <alignment/>
      <protection locked="0"/>
    </xf>
    <xf numFmtId="0" fontId="28" fillId="0" borderId="90" xfId="0" applyFont="1" applyBorder="1" applyAlignment="1" applyProtection="1">
      <alignment/>
      <protection locked="0"/>
    </xf>
    <xf numFmtId="0" fontId="28" fillId="0" borderId="91" xfId="0" applyFont="1" applyBorder="1" applyAlignment="1" applyProtection="1">
      <alignment/>
      <protection locked="0"/>
    </xf>
    <xf numFmtId="173" fontId="28" fillId="0" borderId="89" xfId="0" applyNumberFormat="1" applyFont="1" applyBorder="1" applyAlignment="1" applyProtection="1">
      <alignment/>
      <protection locked="0"/>
    </xf>
    <xf numFmtId="0" fontId="28" fillId="0" borderId="90" xfId="0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8" fillId="0" borderId="9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6" fillId="35" borderId="92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51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/>
      <protection/>
    </xf>
    <xf numFmtId="0" fontId="26" fillId="4" borderId="67" xfId="0" applyFont="1" applyFill="1" applyBorder="1" applyAlignment="1" applyProtection="1">
      <alignment horizontal="center"/>
      <protection/>
    </xf>
    <xf numFmtId="0" fontId="0" fillId="35" borderId="93" xfId="0" applyFont="1" applyFill="1" applyBorder="1" applyAlignment="1" applyProtection="1">
      <alignment/>
      <protection/>
    </xf>
    <xf numFmtId="0" fontId="26" fillId="35" borderId="94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35" borderId="92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6" fillId="35" borderId="54" xfId="0" applyFont="1" applyFill="1" applyBorder="1" applyAlignment="1" applyProtection="1">
      <alignment vertical="center"/>
      <protection/>
    </xf>
    <xf numFmtId="0" fontId="26" fillId="35" borderId="23" xfId="0" applyFont="1" applyFill="1" applyBorder="1" applyAlignment="1" applyProtection="1">
      <alignment vertical="center"/>
      <protection/>
    </xf>
    <xf numFmtId="0" fontId="26" fillId="35" borderId="32" xfId="0" applyFont="1" applyFill="1" applyBorder="1" applyAlignment="1" applyProtection="1">
      <alignment vertical="center"/>
      <protection/>
    </xf>
    <xf numFmtId="0" fontId="26" fillId="35" borderId="54" xfId="0" applyFont="1" applyFill="1" applyBorder="1" applyAlignment="1" applyProtection="1">
      <alignment/>
      <protection/>
    </xf>
    <xf numFmtId="0" fontId="26" fillId="35" borderId="28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69" xfId="0" applyFont="1" applyBorder="1" applyAlignment="1" applyProtection="1">
      <alignment horizontal="center"/>
      <protection/>
    </xf>
    <xf numFmtId="0" fontId="31" fillId="0" borderId="66" xfId="0" applyFont="1" applyFill="1" applyBorder="1" applyAlignment="1" applyProtection="1">
      <alignment horizontal="center"/>
      <protection/>
    </xf>
    <xf numFmtId="0" fontId="31" fillId="0" borderId="95" xfId="0" applyFont="1" applyFill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31" fillId="0" borderId="96" xfId="0" applyFont="1" applyFill="1" applyBorder="1" applyAlignment="1" applyProtection="1">
      <alignment horizontal="center"/>
      <protection/>
    </xf>
    <xf numFmtId="1" fontId="0" fillId="0" borderId="65" xfId="0" applyNumberFormat="1" applyFont="1" applyFill="1" applyBorder="1" applyAlignment="1" applyProtection="1">
      <alignment horizontal="center" vertical="center"/>
      <protection/>
    </xf>
    <xf numFmtId="1" fontId="0" fillId="0" borderId="54" xfId="0" applyNumberFormat="1" applyFont="1" applyFill="1" applyBorder="1" applyAlignment="1" applyProtection="1">
      <alignment horizontal="center" vertic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84" xfId="0" applyNumberFormat="1" applyFont="1" applyFill="1" applyBorder="1" applyAlignment="1" applyProtection="1">
      <alignment horizontal="center" vertical="center"/>
      <protection/>
    </xf>
    <xf numFmtId="1" fontId="0" fillId="0" borderId="57" xfId="0" applyNumberFormat="1" applyFont="1" applyFill="1" applyBorder="1" applyAlignment="1" applyProtection="1">
      <alignment horizontal="center" vertical="center"/>
      <protection/>
    </xf>
    <xf numFmtId="1" fontId="0" fillId="0" borderId="9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" fontId="1" fillId="0" borderId="84" xfId="0" applyNumberFormat="1" applyFont="1" applyFill="1" applyBorder="1" applyAlignment="1" applyProtection="1">
      <alignment horizontal="center" vertical="center"/>
      <protection/>
    </xf>
    <xf numFmtId="1" fontId="1" fillId="0" borderId="57" xfId="0" applyNumberFormat="1" applyFont="1" applyFill="1" applyBorder="1" applyAlignment="1" applyProtection="1">
      <alignment horizontal="center" vertical="center"/>
      <protection/>
    </xf>
    <xf numFmtId="1" fontId="1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" fillId="0" borderId="98" xfId="0" applyFont="1" applyBorder="1" applyAlignment="1" applyProtection="1">
      <alignment vertical="center"/>
      <protection/>
    </xf>
    <xf numFmtId="0" fontId="1" fillId="0" borderId="92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92" xfId="0" applyBorder="1" applyAlignment="1" applyProtection="1">
      <alignment/>
      <protection/>
    </xf>
    <xf numFmtId="0" fontId="0" fillId="0" borderId="9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35" borderId="10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/>
      <protection/>
    </xf>
    <xf numFmtId="0" fontId="0" fillId="35" borderId="32" xfId="0" applyFont="1" applyFill="1" applyBorder="1" applyAlignment="1" applyProtection="1">
      <alignment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33" borderId="102" xfId="0" applyFont="1" applyFill="1" applyBorder="1" applyAlignment="1" applyProtection="1">
      <alignment horizontal="center" vertical="center" wrapText="1"/>
      <protection/>
    </xf>
    <xf numFmtId="0" fontId="0" fillId="33" borderId="103" xfId="0" applyFont="1" applyFill="1" applyBorder="1" applyAlignment="1" applyProtection="1">
      <alignment horizontal="center" vertical="center" wrapText="1"/>
      <protection/>
    </xf>
    <xf numFmtId="0" fontId="0" fillId="0" borderId="104" xfId="0" applyBorder="1" applyAlignment="1" applyProtection="1">
      <alignment/>
      <protection/>
    </xf>
    <xf numFmtId="0" fontId="6" fillId="37" borderId="105" xfId="0" applyFont="1" applyFill="1" applyBorder="1" applyAlignment="1" applyProtection="1">
      <alignment vertical="center" wrapText="1"/>
      <protection/>
    </xf>
    <xf numFmtId="0" fontId="0" fillId="37" borderId="106" xfId="0" applyFont="1" applyFill="1" applyBorder="1" applyAlignment="1" applyProtection="1">
      <alignment vertical="center"/>
      <protection/>
    </xf>
    <xf numFmtId="0" fontId="7" fillId="33" borderId="107" xfId="0" applyFont="1" applyFill="1" applyBorder="1" applyAlignment="1" applyProtection="1">
      <alignment vertical="center"/>
      <protection/>
    </xf>
    <xf numFmtId="0" fontId="7" fillId="33" borderId="108" xfId="0" applyFont="1" applyFill="1" applyBorder="1" applyAlignment="1" applyProtection="1">
      <alignment vertical="center"/>
      <protection/>
    </xf>
    <xf numFmtId="0" fontId="6" fillId="33" borderId="109" xfId="0" applyFont="1" applyFill="1" applyBorder="1" applyAlignment="1" applyProtection="1">
      <alignment vertical="center" wrapText="1"/>
      <protection/>
    </xf>
    <xf numFmtId="0" fontId="0" fillId="35" borderId="92" xfId="0" applyFont="1" applyFill="1" applyBorder="1" applyAlignment="1" applyProtection="1">
      <alignment vertical="center" wrapText="1"/>
      <protection/>
    </xf>
    <xf numFmtId="0" fontId="8" fillId="33" borderId="110" xfId="0" applyFont="1" applyFill="1" applyBorder="1" applyAlignment="1" applyProtection="1">
      <alignment vertical="center"/>
      <protection/>
    </xf>
    <xf numFmtId="0" fontId="0" fillId="33" borderId="92" xfId="0" applyFont="1" applyFill="1" applyBorder="1" applyAlignment="1" applyProtection="1">
      <alignment vertical="center"/>
      <protection/>
    </xf>
    <xf numFmtId="0" fontId="0" fillId="37" borderId="107" xfId="0" applyFont="1" applyFill="1" applyBorder="1" applyAlignment="1" applyProtection="1">
      <alignment vertical="center"/>
      <protection/>
    </xf>
    <xf numFmtId="0" fontId="0" fillId="37" borderId="108" xfId="0" applyFont="1" applyFill="1" applyBorder="1" applyAlignment="1" applyProtection="1">
      <alignment vertical="center"/>
      <protection/>
    </xf>
    <xf numFmtId="0" fontId="0" fillId="37" borderId="111" xfId="0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12" xfId="0" applyFont="1" applyFill="1" applyBorder="1" applyAlignment="1" applyProtection="1">
      <alignment vertical="center"/>
      <protection/>
    </xf>
    <xf numFmtId="0" fontId="0" fillId="35" borderId="50" xfId="0" applyFont="1" applyFill="1" applyBorder="1" applyAlignment="1" applyProtection="1">
      <alignment vertical="center"/>
      <protection/>
    </xf>
    <xf numFmtId="0" fontId="0" fillId="35" borderId="113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9" fillId="33" borderId="11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/>
      <protection/>
    </xf>
    <xf numFmtId="0" fontId="0" fillId="33" borderId="115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0" borderId="58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33" borderId="116" xfId="0" applyFont="1" applyFill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0" fillId="33" borderId="69" xfId="0" applyFill="1" applyBorder="1" applyAlignment="1" applyProtection="1">
      <alignment/>
      <protection/>
    </xf>
    <xf numFmtId="0" fontId="0" fillId="33" borderId="74" xfId="0" applyFill="1" applyBorder="1" applyAlignment="1" applyProtection="1">
      <alignment/>
      <protection/>
    </xf>
    <xf numFmtId="0" fontId="1" fillId="0" borderId="86" xfId="0" applyFont="1" applyBorder="1" applyAlignment="1" applyProtection="1">
      <alignment horizontal="center"/>
      <protection/>
    </xf>
    <xf numFmtId="0" fontId="0" fillId="33" borderId="117" xfId="0" applyFont="1" applyFill="1" applyBorder="1" applyAlignment="1" applyProtection="1">
      <alignment vertical="center"/>
      <protection/>
    </xf>
    <xf numFmtId="0" fontId="0" fillId="33" borderId="90" xfId="0" applyFont="1" applyFill="1" applyBorder="1" applyAlignment="1" applyProtection="1">
      <alignment vertical="center"/>
      <protection/>
    </xf>
    <xf numFmtId="0" fontId="0" fillId="35" borderId="90" xfId="0" applyFont="1" applyFill="1" applyBorder="1" applyAlignment="1" applyProtection="1">
      <alignment vertical="center"/>
      <protection/>
    </xf>
    <xf numFmtId="0" fontId="10" fillId="33" borderId="90" xfId="0" applyFont="1" applyFill="1" applyBorder="1" applyAlignment="1" applyProtection="1">
      <alignment vertical="center"/>
      <protection/>
    </xf>
    <xf numFmtId="0" fontId="0" fillId="33" borderId="91" xfId="0" applyFont="1" applyFill="1" applyBorder="1" applyAlignment="1" applyProtection="1">
      <alignment vertical="center"/>
      <protection/>
    </xf>
    <xf numFmtId="0" fontId="0" fillId="33" borderId="89" xfId="0" applyFont="1" applyFill="1" applyBorder="1" applyAlignment="1" applyProtection="1">
      <alignment vertical="center"/>
      <protection/>
    </xf>
    <xf numFmtId="0" fontId="11" fillId="33" borderId="90" xfId="0" applyFont="1" applyFill="1" applyBorder="1" applyAlignment="1" applyProtection="1">
      <alignment vertical="center"/>
      <protection/>
    </xf>
    <xf numFmtId="0" fontId="12" fillId="33" borderId="90" xfId="0" applyFont="1" applyFill="1" applyBorder="1" applyAlignment="1" applyProtection="1">
      <alignment vertical="center"/>
      <protection/>
    </xf>
    <xf numFmtId="0" fontId="12" fillId="33" borderId="118" xfId="0" applyFont="1" applyFill="1" applyBorder="1" applyAlignment="1" applyProtection="1">
      <alignment vertical="center"/>
      <protection/>
    </xf>
    <xf numFmtId="0" fontId="0" fillId="33" borderId="89" xfId="0" applyFill="1" applyBorder="1" applyAlignment="1" applyProtection="1">
      <alignment vertical="center"/>
      <protection/>
    </xf>
    <xf numFmtId="0" fontId="13" fillId="33" borderId="90" xfId="0" applyFont="1" applyFill="1" applyBorder="1" applyAlignment="1" applyProtection="1">
      <alignment vertical="center"/>
      <protection/>
    </xf>
    <xf numFmtId="0" fontId="4" fillId="33" borderId="118" xfId="0" applyFont="1" applyFill="1" applyBorder="1" applyAlignment="1" applyProtection="1">
      <alignment vertical="center"/>
      <protection/>
    </xf>
    <xf numFmtId="0" fontId="7" fillId="33" borderId="119" xfId="0" applyFont="1" applyFill="1" applyBorder="1" applyAlignment="1" applyProtection="1">
      <alignment vertical="center"/>
      <protection/>
    </xf>
    <xf numFmtId="0" fontId="7" fillId="33" borderId="120" xfId="0" applyFont="1" applyFill="1" applyBorder="1" applyAlignment="1" applyProtection="1">
      <alignment vertical="center"/>
      <protection/>
    </xf>
    <xf numFmtId="0" fontId="0" fillId="35" borderId="120" xfId="0" applyFont="1" applyFill="1" applyBorder="1" applyAlignment="1" applyProtection="1">
      <alignment vertical="center"/>
      <protection/>
    </xf>
    <xf numFmtId="0" fontId="7" fillId="33" borderId="121" xfId="0" applyFont="1" applyFill="1" applyBorder="1" applyAlignment="1" applyProtection="1">
      <alignment vertical="center"/>
      <protection/>
    </xf>
    <xf numFmtId="0" fontId="7" fillId="33" borderId="122" xfId="0" applyFont="1" applyFill="1" applyBorder="1" applyAlignment="1" applyProtection="1">
      <alignment vertical="center"/>
      <protection/>
    </xf>
    <xf numFmtId="0" fontId="7" fillId="33" borderId="123" xfId="0" applyFont="1" applyFill="1" applyBorder="1" applyAlignment="1" applyProtection="1">
      <alignment vertical="center"/>
      <protection/>
    </xf>
    <xf numFmtId="0" fontId="7" fillId="33" borderId="124" xfId="0" applyFont="1" applyFill="1" applyBorder="1" applyAlignment="1" applyProtection="1">
      <alignment vertical="center"/>
      <protection/>
    </xf>
    <xf numFmtId="0" fontId="28" fillId="0" borderId="89" xfId="0" applyFont="1" applyBorder="1" applyAlignment="1" applyProtection="1">
      <alignment/>
      <protection/>
    </xf>
    <xf numFmtId="0" fontId="28" fillId="0" borderId="90" xfId="0" applyFont="1" applyBorder="1" applyAlignment="1" applyProtection="1">
      <alignment/>
      <protection/>
    </xf>
    <xf numFmtId="0" fontId="28" fillId="0" borderId="91" xfId="0" applyFont="1" applyBorder="1" applyAlignment="1" applyProtection="1">
      <alignment/>
      <protection/>
    </xf>
    <xf numFmtId="173" fontId="28" fillId="0" borderId="89" xfId="0" applyNumberFormat="1" applyFont="1" applyBorder="1" applyAlignment="1" applyProtection="1">
      <alignment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170" fontId="0" fillId="0" borderId="66" xfId="0" applyNumberFormat="1" applyFont="1" applyFill="1" applyBorder="1" applyAlignment="1" applyProtection="1">
      <alignment horizontal="left" vertical="center"/>
      <protection/>
    </xf>
    <xf numFmtId="1" fontId="1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170" fontId="0" fillId="0" borderId="96" xfId="0" applyNumberFormat="1" applyFont="1" applyFill="1" applyBorder="1" applyAlignment="1" applyProtection="1">
      <alignment horizontal="left" vertical="center"/>
      <protection/>
    </xf>
    <xf numFmtId="1" fontId="1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1" fontId="1" fillId="0" borderId="69" xfId="0" applyNumberFormat="1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0" fillId="0" borderId="23" xfId="0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5" fillId="0" borderId="100" xfId="0" applyNumberFormat="1" applyFont="1" applyBorder="1" applyAlignment="1" applyProtection="1">
      <alignment horizontal="left"/>
      <protection locked="0"/>
    </xf>
    <xf numFmtId="0" fontId="0" fillId="0" borderId="100" xfId="0" applyBorder="1" applyAlignment="1" applyProtection="1">
      <alignment/>
      <protection locked="0"/>
    </xf>
    <xf numFmtId="0" fontId="0" fillId="0" borderId="125" xfId="0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0" fillId="33" borderId="126" xfId="0" applyFill="1" applyBorder="1" applyAlignment="1" applyProtection="1">
      <alignment/>
      <protection locked="0"/>
    </xf>
    <xf numFmtId="0" fontId="0" fillId="35" borderId="32" xfId="0" applyFont="1" applyFill="1" applyBorder="1" applyAlignment="1" applyProtection="1">
      <alignment/>
      <protection locked="0"/>
    </xf>
    <xf numFmtId="0" fontId="0" fillId="0" borderId="127" xfId="0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28" xfId="0" applyFont="1" applyBorder="1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>
      <alignment horizontal="center"/>
    </xf>
    <xf numFmtId="0" fontId="28" fillId="0" borderId="72" xfId="0" applyFont="1" applyBorder="1" applyAlignment="1" applyProtection="1">
      <alignment horizontal="center"/>
      <protection locked="0"/>
    </xf>
    <xf numFmtId="166" fontId="0" fillId="0" borderId="55" xfId="0" applyNumberFormat="1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70" fontId="0" fillId="0" borderId="60" xfId="0" applyNumberFormat="1" applyBorder="1" applyAlignment="1" applyProtection="1">
      <alignment horizontal="center" vertical="center"/>
      <protection locked="0"/>
    </xf>
    <xf numFmtId="170" fontId="0" fillId="0" borderId="59" xfId="0" applyNumberForma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5" fillId="0" borderId="8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8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30" fillId="0" borderId="65" xfId="0" applyFont="1" applyFill="1" applyBorder="1" applyAlignment="1" applyProtection="1">
      <alignment horizontal="left"/>
      <protection/>
    </xf>
    <xf numFmtId="0" fontId="30" fillId="0" borderId="66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30" fillId="0" borderId="83" xfId="0" applyFont="1" applyFill="1" applyBorder="1" applyAlignment="1" applyProtection="1">
      <alignment horizontal="left"/>
      <protection/>
    </xf>
    <xf numFmtId="0" fontId="30" fillId="0" borderId="95" xfId="0" applyFont="1" applyFill="1" applyBorder="1" applyAlignment="1" applyProtection="1">
      <alignment horizontal="center"/>
      <protection/>
    </xf>
    <xf numFmtId="0" fontId="30" fillId="0" borderId="84" xfId="0" applyFont="1" applyFill="1" applyBorder="1" applyAlignment="1" applyProtection="1">
      <alignment horizontal="left"/>
      <protection/>
    </xf>
    <xf numFmtId="0" fontId="30" fillId="0" borderId="96" xfId="0" applyFont="1" applyFill="1" applyBorder="1" applyAlignment="1" applyProtection="1">
      <alignment horizontal="center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 locked="0"/>
    </xf>
    <xf numFmtId="1" fontId="5" fillId="0" borderId="74" xfId="0" applyNumberFormat="1" applyFont="1" applyFill="1" applyBorder="1" applyAlignment="1" applyProtection="1">
      <alignment horizontal="center" vertical="center"/>
      <protection locked="0"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5" fillId="4" borderId="96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/>
      <protection locked="0"/>
    </xf>
    <xf numFmtId="0" fontId="5" fillId="4" borderId="129" xfId="0" applyFont="1" applyFill="1" applyBorder="1" applyAlignment="1" applyProtection="1">
      <alignment horizontal="center"/>
      <protection locked="0"/>
    </xf>
    <xf numFmtId="0" fontId="5" fillId="4" borderId="61" xfId="0" applyFont="1" applyFill="1" applyBorder="1" applyAlignment="1" applyProtection="1">
      <alignment horizontal="center"/>
      <protection locked="0"/>
    </xf>
    <xf numFmtId="0" fontId="5" fillId="4" borderId="9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4" fillId="0" borderId="0" xfId="50" applyNumberFormat="1" applyFill="1" applyAlignment="1" applyProtection="1">
      <alignment/>
      <protection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28" fillId="0" borderId="51" xfId="0" applyFont="1" applyBorder="1" applyAlignment="1" applyProtection="1">
      <alignment/>
      <protection/>
    </xf>
    <xf numFmtId="0" fontId="28" fillId="0" borderId="130" xfId="0" applyFont="1" applyBorder="1" applyAlignment="1" applyProtection="1">
      <alignment/>
      <protection/>
    </xf>
    <xf numFmtId="0" fontId="28" fillId="0" borderId="131" xfId="0" applyFont="1" applyBorder="1" applyAlignment="1" applyProtection="1">
      <alignment horizontal="center"/>
      <protection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left"/>
      <protection/>
    </xf>
    <xf numFmtId="0" fontId="0" fillId="0" borderId="131" xfId="0" applyBorder="1" applyAlignment="1" applyProtection="1">
      <alignment/>
      <protection/>
    </xf>
    <xf numFmtId="0" fontId="28" fillId="0" borderId="131" xfId="0" applyFont="1" applyBorder="1" applyAlignment="1" applyProtection="1">
      <alignment/>
      <protection/>
    </xf>
    <xf numFmtId="0" fontId="0" fillId="0" borderId="131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3" fillId="0" borderId="0" xfId="50" applyFont="1" applyAlignment="1" applyProtection="1">
      <alignment/>
      <protection locked="0"/>
    </xf>
    <xf numFmtId="0" fontId="1" fillId="0" borderId="94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90" xfId="0" applyFill="1" applyBorder="1" applyAlignment="1" applyProtection="1">
      <alignment/>
      <protection/>
    </xf>
    <xf numFmtId="1" fontId="0" fillId="0" borderId="90" xfId="0" applyNumberForma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28" fillId="0" borderId="133" xfId="0" applyFont="1" applyBorder="1" applyAlignment="1" applyProtection="1">
      <alignment/>
      <protection/>
    </xf>
    <xf numFmtId="173" fontId="28" fillId="0" borderId="133" xfId="0" applyNumberFormat="1" applyFont="1" applyBorder="1" applyAlignment="1" applyProtection="1">
      <alignment/>
      <protection/>
    </xf>
    <xf numFmtId="0" fontId="28" fillId="0" borderId="5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95" xfId="0" applyFont="1" applyFill="1" applyBorder="1" applyAlignment="1" applyProtection="1">
      <alignment horizontal="center"/>
      <protection/>
    </xf>
    <xf numFmtId="0" fontId="0" fillId="0" borderId="72" xfId="0" applyFont="1" applyFill="1" applyBorder="1" applyAlignment="1" applyProtection="1">
      <alignment horizontal="center"/>
      <protection/>
    </xf>
    <xf numFmtId="0" fontId="0" fillId="0" borderId="96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0" fillId="0" borderId="74" xfId="0" applyFont="1" applyFill="1" applyBorder="1" applyAlignment="1" applyProtection="1">
      <alignment horizontal="center"/>
      <protection/>
    </xf>
    <xf numFmtId="0" fontId="0" fillId="0" borderId="85" xfId="0" applyFont="1" applyFill="1" applyBorder="1" applyAlignment="1" applyProtection="1">
      <alignment horizontal="center"/>
      <protection/>
    </xf>
    <xf numFmtId="0" fontId="0" fillId="0" borderId="88" xfId="0" applyFont="1" applyFill="1" applyBorder="1" applyAlignment="1" applyProtection="1">
      <alignment horizontal="center"/>
      <protection/>
    </xf>
    <xf numFmtId="1" fontId="5" fillId="0" borderId="69" xfId="0" applyNumberFormat="1" applyFont="1" applyFill="1" applyBorder="1" applyAlignment="1" applyProtection="1">
      <alignment horizontal="center"/>
      <protection locked="0"/>
    </xf>
    <xf numFmtId="0" fontId="0" fillId="0" borderId="132" xfId="0" applyFill="1" applyBorder="1" applyAlignment="1" applyProtection="1">
      <alignment horizontal="center" vertic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134" xfId="0" applyFont="1" applyFill="1" applyBorder="1" applyAlignment="1" applyProtection="1">
      <alignment horizontal="center" vertical="center"/>
      <protection/>
    </xf>
    <xf numFmtId="1" fontId="1" fillId="0" borderId="87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 applyProtection="1">
      <alignment horizont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0" fontId="46" fillId="0" borderId="74" xfId="0" applyFont="1" applyFill="1" applyBorder="1" applyAlignment="1" applyProtection="1">
      <alignment horizontal="center"/>
      <protection/>
    </xf>
    <xf numFmtId="20" fontId="5" fillId="0" borderId="69" xfId="0" applyNumberFormat="1" applyFont="1" applyFill="1" applyBorder="1" applyAlignment="1" applyProtection="1">
      <alignment horizontal="center"/>
      <protection/>
    </xf>
    <xf numFmtId="20" fontId="46" fillId="0" borderId="74" xfId="0" applyNumberFormat="1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0" fillId="0" borderId="100" xfId="0" applyFont="1" applyFill="1" applyBorder="1" applyAlignment="1" applyProtection="1">
      <alignment horizontal="left"/>
      <protection/>
    </xf>
    <xf numFmtId="170" fontId="0" fillId="0" borderId="66" xfId="0" applyNumberFormat="1" applyFill="1" applyBorder="1" applyAlignment="1" applyProtection="1">
      <alignment/>
      <protection/>
    </xf>
    <xf numFmtId="170" fontId="0" fillId="0" borderId="96" xfId="0" applyNumberFormat="1" applyFill="1" applyBorder="1" applyAlignment="1" applyProtection="1">
      <alignment/>
      <protection/>
    </xf>
    <xf numFmtId="0" fontId="29" fillId="0" borderId="137" xfId="0" applyFont="1" applyBorder="1" applyAlignment="1">
      <alignment horizontal="center"/>
    </xf>
    <xf numFmtId="0" fontId="23" fillId="0" borderId="100" xfId="0" applyFont="1" applyBorder="1" applyAlignment="1">
      <alignment horizontal="center" vertical="center"/>
    </xf>
    <xf numFmtId="0" fontId="29" fillId="0" borderId="125" xfId="0" applyFont="1" applyBorder="1" applyAlignment="1">
      <alignment horizontal="center"/>
    </xf>
    <xf numFmtId="166" fontId="5" fillId="4" borderId="65" xfId="0" applyNumberFormat="1" applyFont="1" applyFill="1" applyBorder="1" applyAlignment="1" applyProtection="1">
      <alignment horizontal="center" vertical="center"/>
      <protection locked="0"/>
    </xf>
    <xf numFmtId="0" fontId="28" fillId="0" borderId="87" xfId="0" applyFont="1" applyBorder="1" applyAlignment="1" applyProtection="1">
      <alignment horizontal="center"/>
      <protection/>
    </xf>
    <xf numFmtId="0" fontId="1" fillId="0" borderId="84" xfId="0" applyFont="1" applyFill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37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9" fillId="36" borderId="0" xfId="0" applyFont="1" applyFill="1" applyAlignment="1">
      <alignment horizontal="center"/>
    </xf>
    <xf numFmtId="14" fontId="4" fillId="36" borderId="0" xfId="0" applyNumberFormat="1" applyFont="1" applyFill="1" applyAlignment="1">
      <alignment horizontal="left" vertical="center"/>
    </xf>
    <xf numFmtId="0" fontId="28" fillId="36" borderId="14" xfId="0" applyFont="1" applyFill="1" applyBorder="1" applyAlignment="1">
      <alignment horizontal="center"/>
    </xf>
    <xf numFmtId="0" fontId="28" fillId="36" borderId="18" xfId="0" applyFont="1" applyFill="1" applyBorder="1" applyAlignment="1">
      <alignment horizontal="center"/>
    </xf>
    <xf numFmtId="1" fontId="5" fillId="36" borderId="11" xfId="0" applyNumberFormat="1" applyFont="1" applyFill="1" applyBorder="1" applyAlignment="1">
      <alignment horizontal="center"/>
    </xf>
    <xf numFmtId="1" fontId="0" fillId="36" borderId="12" xfId="0" applyNumberFormat="1" applyFill="1" applyBorder="1" applyAlignment="1">
      <alignment/>
    </xf>
    <xf numFmtId="1" fontId="4" fillId="36" borderId="13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1" fontId="5" fillId="36" borderId="12" xfId="0" applyNumberFormat="1" applyFont="1" applyFill="1" applyBorder="1" applyAlignment="1">
      <alignment horizontal="center"/>
    </xf>
    <xf numFmtId="1" fontId="4" fillId="36" borderId="138" xfId="0" applyNumberFormat="1" applyFont="1" applyFill="1" applyBorder="1" applyAlignment="1">
      <alignment horizontal="center"/>
    </xf>
    <xf numFmtId="2" fontId="37" fillId="36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2" fontId="19" fillId="36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left" vertical="center"/>
    </xf>
    <xf numFmtId="2" fontId="28" fillId="36" borderId="14" xfId="0" applyNumberFormat="1" applyFont="1" applyFill="1" applyBorder="1" applyAlignment="1">
      <alignment horizontal="center"/>
    </xf>
    <xf numFmtId="2" fontId="28" fillId="36" borderId="18" xfId="0" applyNumberFormat="1" applyFont="1" applyFill="1" applyBorder="1" applyAlignment="1">
      <alignment horizontal="center"/>
    </xf>
    <xf numFmtId="0" fontId="0" fillId="36" borderId="12" xfId="0" applyFill="1" applyBorder="1" applyAlignment="1">
      <alignment/>
    </xf>
    <xf numFmtId="1" fontId="5" fillId="36" borderId="138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/>
      <protection locked="0"/>
    </xf>
    <xf numFmtId="0" fontId="1" fillId="0" borderId="139" xfId="0" applyFont="1" applyBorder="1" applyAlignment="1" applyProtection="1">
      <alignment horizontal="center"/>
      <protection locked="0"/>
    </xf>
    <xf numFmtId="0" fontId="1" fillId="0" borderId="140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2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0" borderId="92" xfId="0" applyFont="1" applyFill="1" applyBorder="1" applyAlignment="1" applyProtection="1">
      <alignment horizontal="center"/>
      <protection/>
    </xf>
    <xf numFmtId="0" fontId="26" fillId="4" borderId="2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0" fontId="26" fillId="0" borderId="52" xfId="0" applyFont="1" applyFill="1" applyBorder="1" applyAlignment="1" applyProtection="1">
      <alignment horizontal="center"/>
      <protection/>
    </xf>
    <xf numFmtId="0" fontId="0" fillId="35" borderId="136" xfId="0" applyFont="1" applyFill="1" applyBorder="1" applyAlignment="1" applyProtection="1">
      <alignment horizontal="center"/>
      <protection/>
    </xf>
    <xf numFmtId="0" fontId="22" fillId="0" borderId="54" xfId="0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14" fontId="4" fillId="4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4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6" fillId="4" borderId="0" xfId="0" applyFont="1" applyFill="1" applyBorder="1" applyAlignment="1" applyProtection="1">
      <alignment horizontal="center"/>
      <protection locked="0"/>
    </xf>
    <xf numFmtId="0" fontId="22" fillId="0" borderId="94" xfId="0" applyFont="1" applyFill="1" applyBorder="1" applyAlignment="1" applyProtection="1">
      <alignment horizontal="center"/>
      <protection/>
    </xf>
    <xf numFmtId="0" fontId="22" fillId="0" borderId="114" xfId="0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center"/>
      <protection/>
    </xf>
    <xf numFmtId="0" fontId="22" fillId="0" borderId="36" xfId="0" applyFont="1" applyFill="1" applyBorder="1" applyAlignment="1" applyProtection="1">
      <alignment horizontal="center"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39" xfId="0" applyFont="1" applyFill="1" applyBorder="1" applyAlignment="1" applyProtection="1">
      <alignment horizontal="center"/>
      <protection/>
    </xf>
    <xf numFmtId="0" fontId="22" fillId="0" borderId="141" xfId="0" applyFont="1" applyFill="1" applyBorder="1" applyAlignment="1" applyProtection="1">
      <alignment horizontal="center"/>
      <protection/>
    </xf>
    <xf numFmtId="0" fontId="22" fillId="0" borderId="58" xfId="0" applyFont="1" applyFill="1" applyBorder="1" applyAlignment="1" applyProtection="1">
      <alignment horizontal="center"/>
      <protection/>
    </xf>
    <xf numFmtId="0" fontId="22" fillId="0" borderId="116" xfId="0" applyFont="1" applyFill="1" applyBorder="1" applyAlignment="1" applyProtection="1">
      <alignment horizontal="center"/>
      <protection/>
    </xf>
    <xf numFmtId="0" fontId="0" fillId="0" borderId="114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141" xfId="0" applyFont="1" applyFill="1" applyBorder="1" applyAlignment="1" applyProtection="1">
      <alignment horizontal="center"/>
      <protection/>
    </xf>
    <xf numFmtId="0" fontId="0" fillId="0" borderId="116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0" fillId="0" borderId="142" xfId="0" applyFont="1" applyFill="1" applyBorder="1" applyAlignment="1" applyProtection="1">
      <alignment/>
      <protection/>
    </xf>
    <xf numFmtId="0" fontId="0" fillId="0" borderId="143" xfId="0" applyFont="1" applyFill="1" applyBorder="1" applyAlignment="1" applyProtection="1">
      <alignment/>
      <protection/>
    </xf>
    <xf numFmtId="0" fontId="0" fillId="0" borderId="78" xfId="0" applyFont="1" applyFill="1" applyBorder="1" applyAlignment="1" applyProtection="1">
      <alignment/>
      <protection/>
    </xf>
    <xf numFmtId="0" fontId="0" fillId="0" borderId="144" xfId="0" applyFont="1" applyFill="1" applyBorder="1" applyAlignment="1" applyProtection="1">
      <alignment/>
      <protection/>
    </xf>
    <xf numFmtId="0" fontId="0" fillId="0" borderId="145" xfId="0" applyFont="1" applyFill="1" applyBorder="1" applyAlignment="1" applyProtection="1">
      <alignment/>
      <protection/>
    </xf>
    <xf numFmtId="2" fontId="22" fillId="35" borderId="0" xfId="0" applyNumberFormat="1" applyFont="1" applyFill="1" applyBorder="1" applyAlignment="1" applyProtection="1">
      <alignment horizontal="center"/>
      <protection/>
    </xf>
    <xf numFmtId="0" fontId="34" fillId="0" borderId="0" xfId="50" applyAlignment="1" applyProtection="1">
      <alignment/>
      <protection locked="0"/>
    </xf>
    <xf numFmtId="0" fontId="50" fillId="0" borderId="0" xfId="0" applyFont="1" applyAlignment="1" applyProtection="1">
      <alignment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 vertical="center"/>
      <protection/>
    </xf>
    <xf numFmtId="20" fontId="46" fillId="0" borderId="93" xfId="0" applyNumberFormat="1" applyFont="1" applyFill="1" applyBorder="1" applyAlignment="1" applyProtection="1">
      <alignment horizontal="center" vertical="center"/>
      <protection locked="0"/>
    </xf>
    <xf numFmtId="0" fontId="5" fillId="0" borderId="93" xfId="0" applyFont="1" applyFill="1" applyBorder="1" applyAlignment="1" applyProtection="1">
      <alignment horizontal="center" vertical="center"/>
      <protection locked="0"/>
    </xf>
    <xf numFmtId="170" fontId="0" fillId="0" borderId="136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/>
      <protection/>
    </xf>
    <xf numFmtId="0" fontId="0" fillId="0" borderId="142" xfId="0" applyFill="1" applyBorder="1" applyAlignment="1" applyProtection="1">
      <alignment/>
      <protection/>
    </xf>
    <xf numFmtId="0" fontId="0" fillId="0" borderId="142" xfId="0" applyFont="1" applyFill="1" applyBorder="1" applyAlignment="1" applyProtection="1">
      <alignment/>
      <protection/>
    </xf>
    <xf numFmtId="0" fontId="0" fillId="0" borderId="143" xfId="0" applyFill="1" applyBorder="1" applyAlignment="1" applyProtection="1">
      <alignment/>
      <protection/>
    </xf>
    <xf numFmtId="0" fontId="31" fillId="0" borderId="142" xfId="0" applyFont="1" applyFill="1" applyBorder="1" applyAlignment="1" applyProtection="1">
      <alignment/>
      <protection/>
    </xf>
    <xf numFmtId="0" fontId="0" fillId="0" borderId="143" xfId="0" applyFont="1" applyFill="1" applyBorder="1" applyAlignment="1" applyProtection="1">
      <alignment/>
      <protection/>
    </xf>
    <xf numFmtId="0" fontId="1" fillId="39" borderId="135" xfId="0" applyFont="1" applyFill="1" applyBorder="1" applyAlignment="1" applyProtection="1">
      <alignment horizontal="center"/>
      <protection locked="0"/>
    </xf>
    <xf numFmtId="0" fontId="1" fillId="39" borderId="0" xfId="0" applyFont="1" applyFill="1" applyBorder="1" applyAlignment="1" applyProtection="1">
      <alignment horizontal="center"/>
      <protection locked="0"/>
    </xf>
    <xf numFmtId="0" fontId="1" fillId="39" borderId="136" xfId="0" applyFont="1" applyFill="1" applyBorder="1" applyAlignment="1" applyProtection="1">
      <alignment horizontal="center"/>
      <protection locked="0"/>
    </xf>
    <xf numFmtId="0" fontId="1" fillId="0" borderId="96" xfId="0" applyFont="1" applyFill="1" applyBorder="1" applyAlignment="1" applyProtection="1">
      <alignment horizontal="center"/>
      <protection/>
    </xf>
    <xf numFmtId="0" fontId="1" fillId="0" borderId="131" xfId="0" applyFont="1" applyFill="1" applyBorder="1" applyAlignment="1" applyProtection="1">
      <alignment horizontal="center" vertical="center"/>
      <protection/>
    </xf>
    <xf numFmtId="20" fontId="5" fillId="0" borderId="0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Fill="1" applyBorder="1" applyAlignment="1" applyProtection="1">
      <alignment horizontal="center"/>
      <protection/>
    </xf>
    <xf numFmtId="0" fontId="5" fillId="0" borderId="83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84" xfId="0" applyFont="1" applyBorder="1" applyAlignment="1" applyProtection="1">
      <alignment horizontal="center"/>
      <protection locked="0"/>
    </xf>
    <xf numFmtId="0" fontId="5" fillId="0" borderId="132" xfId="0" applyFont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/>
      <protection/>
    </xf>
    <xf numFmtId="0" fontId="5" fillId="0" borderId="91" xfId="0" applyFont="1" applyBorder="1" applyAlignment="1" applyProtection="1">
      <alignment/>
      <protection/>
    </xf>
    <xf numFmtId="173" fontId="5" fillId="0" borderId="89" xfId="0" applyNumberFormat="1" applyFont="1" applyBorder="1" applyAlignment="1" applyProtection="1">
      <alignment/>
      <protection/>
    </xf>
    <xf numFmtId="0" fontId="5" fillId="0" borderId="90" xfId="0" applyFont="1" applyBorder="1" applyAlignment="1" applyProtection="1">
      <alignment horizontal="center"/>
      <protection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6" fillId="4" borderId="27" xfId="0" applyFont="1" applyFill="1" applyBorder="1" applyAlignment="1" applyProtection="1">
      <alignment horizont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26" fillId="4" borderId="30" xfId="0" applyFont="1" applyFill="1" applyBorder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center"/>
      <protection locked="0"/>
    </xf>
    <xf numFmtId="0" fontId="26" fillId="4" borderId="19" xfId="0" applyFont="1" applyFill="1" applyBorder="1" applyAlignment="1" applyProtection="1">
      <alignment horizontal="center"/>
      <protection locked="0"/>
    </xf>
    <xf numFmtId="0" fontId="26" fillId="4" borderId="20" xfId="0" applyFont="1" applyFill="1" applyBorder="1" applyAlignment="1" applyProtection="1">
      <alignment horizontal="center"/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26" fillId="4" borderId="146" xfId="0" applyFont="1" applyFill="1" applyBorder="1" applyAlignment="1" applyProtection="1">
      <alignment horizontal="center"/>
      <protection locked="0"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4" borderId="128" xfId="0" applyFont="1" applyFill="1" applyBorder="1" applyAlignment="1" applyProtection="1">
      <alignment horizontal="center"/>
      <protection locked="0"/>
    </xf>
    <xf numFmtId="0" fontId="26" fillId="0" borderId="147" xfId="0" applyFont="1" applyBorder="1" applyAlignment="1" applyProtection="1">
      <alignment horizontal="left" vertical="center"/>
      <protection/>
    </xf>
    <xf numFmtId="0" fontId="26" fillId="0" borderId="144" xfId="0" applyFont="1" applyBorder="1" applyAlignment="1" applyProtection="1">
      <alignment horizontal="left" vertical="center"/>
      <protection/>
    </xf>
    <xf numFmtId="0" fontId="26" fillId="0" borderId="148" xfId="0" applyFont="1" applyBorder="1" applyAlignment="1" applyProtection="1">
      <alignment horizontal="left" vertical="center"/>
      <protection/>
    </xf>
    <xf numFmtId="0" fontId="26" fillId="0" borderId="98" xfId="0" applyFont="1" applyFill="1" applyBorder="1" applyAlignment="1" applyProtection="1">
      <alignment horizontal="center"/>
      <protection/>
    </xf>
    <xf numFmtId="0" fontId="26" fillId="0" borderId="92" xfId="0" applyFont="1" applyFill="1" applyBorder="1" applyAlignment="1" applyProtection="1">
      <alignment horizontal="center"/>
      <protection/>
    </xf>
    <xf numFmtId="0" fontId="26" fillId="0" borderId="99" xfId="0" applyFont="1" applyFill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138" xfId="0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1" fillId="4" borderId="74" xfId="0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0" fontId="28" fillId="0" borderId="0" xfId="0" applyNumberFormat="1" applyFont="1" applyFill="1" applyAlignment="1" applyProtection="1">
      <alignment horizontal="left" vertical="center"/>
      <protection/>
    </xf>
    <xf numFmtId="0" fontId="5" fillId="0" borderId="89" xfId="0" applyFont="1" applyFill="1" applyBorder="1" applyAlignment="1" applyProtection="1">
      <alignment horizontal="center"/>
      <protection/>
    </xf>
    <xf numFmtId="0" fontId="5" fillId="0" borderId="90" xfId="0" applyFont="1" applyFill="1" applyBorder="1" applyAlignment="1" applyProtection="1">
      <alignment horizontal="center"/>
      <protection/>
    </xf>
    <xf numFmtId="0" fontId="5" fillId="0" borderId="91" xfId="0" applyFont="1" applyFill="1" applyBorder="1" applyAlignment="1" applyProtection="1">
      <alignment horizontal="center"/>
      <protection/>
    </xf>
    <xf numFmtId="0" fontId="5" fillId="0" borderId="149" xfId="0" applyFont="1" applyFill="1" applyBorder="1" applyAlignment="1" applyProtection="1">
      <alignment horizontal="center"/>
      <protection/>
    </xf>
    <xf numFmtId="0" fontId="5" fillId="0" borderId="150" xfId="0" applyFont="1" applyFill="1" applyBorder="1" applyAlignment="1" applyProtection="1">
      <alignment horizontal="center"/>
      <protection/>
    </xf>
    <xf numFmtId="0" fontId="5" fillId="0" borderId="151" xfId="0" applyFont="1" applyFill="1" applyBorder="1" applyAlignment="1" applyProtection="1">
      <alignment horizontal="center"/>
      <protection/>
    </xf>
    <xf numFmtId="0" fontId="5" fillId="0" borderId="135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6" xfId="0" applyFont="1" applyFill="1" applyBorder="1" applyAlignment="1" applyProtection="1">
      <alignment horizontal="center"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6" xfId="0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52" xfId="0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 applyProtection="1">
      <alignment horizontal="center" vertical="center"/>
      <protection/>
    </xf>
    <xf numFmtId="0" fontId="5" fillId="0" borderId="153" xfId="0" applyFont="1" applyFill="1" applyBorder="1" applyAlignment="1" applyProtection="1">
      <alignment horizontal="center" vertical="center"/>
      <protection/>
    </xf>
    <xf numFmtId="0" fontId="5" fillId="0" borderId="133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13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85" xfId="0" applyNumberFormat="1" applyFont="1" applyFill="1" applyBorder="1" applyAlignment="1" applyProtection="1">
      <alignment horizontal="center" vertical="center"/>
      <protection/>
    </xf>
    <xf numFmtId="1" fontId="5" fillId="0" borderId="88" xfId="0" applyNumberFormat="1" applyFont="1" applyFill="1" applyBorder="1" applyAlignment="1" applyProtection="1">
      <alignment horizontal="center" vertical="center"/>
      <protection/>
    </xf>
    <xf numFmtId="1" fontId="1" fillId="0" borderId="85" xfId="0" applyNumberFormat="1" applyFont="1" applyFill="1" applyBorder="1" applyAlignment="1" applyProtection="1">
      <alignment horizontal="center" vertical="center"/>
      <protection/>
    </xf>
    <xf numFmtId="1" fontId="1" fillId="0" borderId="88" xfId="0" applyNumberFormat="1" applyFont="1" applyFill="1" applyBorder="1" applyAlignment="1" applyProtection="1">
      <alignment horizontal="center" vertical="center"/>
      <protection/>
    </xf>
    <xf numFmtId="1" fontId="1" fillId="0" borderId="152" xfId="0" applyNumberFormat="1" applyFont="1" applyFill="1" applyBorder="1" applyAlignment="1" applyProtection="1">
      <alignment horizontal="center" vertical="center"/>
      <protection/>
    </xf>
    <xf numFmtId="1" fontId="1" fillId="0" borderId="94" xfId="0" applyNumberFormat="1" applyFont="1" applyFill="1" applyBorder="1" applyAlignment="1" applyProtection="1">
      <alignment horizontal="center" vertical="center"/>
      <protection/>
    </xf>
    <xf numFmtId="1" fontId="1" fillId="0" borderId="153" xfId="0" applyNumberFormat="1" applyFont="1" applyFill="1" applyBorder="1" applyAlignment="1" applyProtection="1">
      <alignment horizontal="center" vertical="center"/>
      <protection/>
    </xf>
    <xf numFmtId="1" fontId="1" fillId="0" borderId="13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30" xfId="0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1" fillId="39" borderId="84" xfId="0" applyFont="1" applyFill="1" applyBorder="1" applyAlignment="1" applyProtection="1">
      <alignment horizontal="center"/>
      <protection locked="0"/>
    </xf>
    <xf numFmtId="0" fontId="1" fillId="39" borderId="57" xfId="0" applyFont="1" applyFill="1" applyBorder="1" applyAlignment="1" applyProtection="1">
      <alignment horizontal="center"/>
      <protection locked="0"/>
    </xf>
    <xf numFmtId="0" fontId="1" fillId="39" borderId="96" xfId="0" applyFont="1" applyFill="1" applyBorder="1" applyAlignment="1" applyProtection="1">
      <alignment horizontal="center"/>
      <protection locked="0"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20" fontId="5" fillId="0" borderId="69" xfId="0" applyNumberFormat="1" applyFont="1" applyFill="1" applyBorder="1" applyAlignment="1" applyProtection="1">
      <alignment horizontal="center" vertical="center"/>
      <protection locked="0"/>
    </xf>
    <xf numFmtId="20" fontId="5" fillId="0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39" borderId="65" xfId="0" applyFont="1" applyFill="1" applyBorder="1" applyAlignment="1" applyProtection="1">
      <alignment horizontal="center"/>
      <protection/>
    </xf>
    <xf numFmtId="0" fontId="0" fillId="39" borderId="54" xfId="0" applyFont="1" applyFill="1" applyBorder="1" applyAlignment="1" applyProtection="1">
      <alignment horizontal="center"/>
      <protection/>
    </xf>
    <xf numFmtId="0" fontId="0" fillId="39" borderId="66" xfId="0" applyFon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46" fillId="0" borderId="69" xfId="0" applyFont="1" applyFill="1" applyBorder="1" applyAlignment="1" applyProtection="1">
      <alignment horizontal="center" vertical="center"/>
      <protection/>
    </xf>
    <xf numFmtId="0" fontId="46" fillId="0" borderId="74" xfId="0" applyFont="1" applyFill="1" applyBorder="1" applyAlignment="1" applyProtection="1">
      <alignment horizontal="center" vertical="center"/>
      <protection/>
    </xf>
    <xf numFmtId="20" fontId="46" fillId="0" borderId="69" xfId="0" applyNumberFormat="1" applyFont="1" applyFill="1" applyBorder="1" applyAlignment="1" applyProtection="1">
      <alignment horizontal="center" vertical="center"/>
      <protection locked="0"/>
    </xf>
    <xf numFmtId="20" fontId="46" fillId="0" borderId="74" xfId="0" applyNumberFormat="1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center"/>
      <protection/>
    </xf>
    <xf numFmtId="0" fontId="1" fillId="0" borderId="9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0" fontId="5" fillId="0" borderId="87" xfId="0" applyNumberFormat="1" applyFont="1" applyFill="1" applyBorder="1" applyAlignment="1" applyProtection="1">
      <alignment horizontal="center" vertical="center"/>
      <protection locked="0"/>
    </xf>
    <xf numFmtId="0" fontId="5" fillId="0" borderId="93" xfId="0" applyFont="1" applyFill="1" applyBorder="1" applyAlignment="1" applyProtection="1">
      <alignment horizontal="center" vertical="center"/>
      <protection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134" xfId="0" applyFill="1" applyBorder="1" applyAlignment="1" applyProtection="1">
      <alignment horizontal="center" vertical="center"/>
      <protection/>
    </xf>
    <xf numFmtId="0" fontId="0" fillId="39" borderId="132" xfId="0" applyFont="1" applyFill="1" applyBorder="1" applyAlignment="1" applyProtection="1">
      <alignment horizontal="center"/>
      <protection/>
    </xf>
    <xf numFmtId="0" fontId="0" fillId="39" borderId="100" xfId="0" applyFont="1" applyFill="1" applyBorder="1" applyAlignment="1" applyProtection="1">
      <alignment horizontal="center"/>
      <protection/>
    </xf>
    <xf numFmtId="0" fontId="0" fillId="39" borderId="134" xfId="0" applyFont="1" applyFill="1" applyBorder="1" applyAlignment="1" applyProtection="1">
      <alignment horizontal="center"/>
      <protection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55" xfId="0" applyFill="1" applyBorder="1" applyAlignment="1" applyProtection="1">
      <alignment horizontal="center" vertical="center"/>
      <protection/>
    </xf>
    <xf numFmtId="0" fontId="0" fillId="0" borderId="156" xfId="0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135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 applyProtection="1">
      <alignment horizontal="center" vertic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1" fontId="1" fillId="0" borderId="65" xfId="0" applyNumberFormat="1" applyFont="1" applyFill="1" applyBorder="1" applyAlignment="1" applyProtection="1">
      <alignment horizontal="center"/>
      <protection/>
    </xf>
    <xf numFmtId="1" fontId="1" fillId="0" borderId="54" xfId="0" applyNumberFormat="1" applyFont="1" applyFill="1" applyBorder="1" applyAlignment="1" applyProtection="1">
      <alignment horizontal="center"/>
      <protection/>
    </xf>
    <xf numFmtId="1" fontId="1" fillId="0" borderId="66" xfId="0" applyNumberFormat="1" applyFont="1" applyFill="1" applyBorder="1" applyAlignment="1" applyProtection="1">
      <alignment horizontal="center"/>
      <protection/>
    </xf>
    <xf numFmtId="1" fontId="1" fillId="0" borderId="132" xfId="0" applyNumberFormat="1" applyFont="1" applyFill="1" applyBorder="1" applyAlignment="1" applyProtection="1">
      <alignment horizontal="center"/>
      <protection/>
    </xf>
    <xf numFmtId="1" fontId="1" fillId="0" borderId="100" xfId="0" applyNumberFormat="1" applyFont="1" applyFill="1" applyBorder="1" applyAlignment="1" applyProtection="1">
      <alignment horizontal="center"/>
      <protection/>
    </xf>
    <xf numFmtId="1" fontId="1" fillId="0" borderId="134" xfId="0" applyNumberFormat="1" applyFont="1" applyFill="1" applyBorder="1" applyAlignment="1" applyProtection="1">
      <alignment horizontal="center"/>
      <protection/>
    </xf>
    <xf numFmtId="0" fontId="4" fillId="0" borderId="85" xfId="0" applyFont="1" applyBorder="1" applyAlignment="1" applyProtection="1">
      <alignment horizontal="center" vertical="center"/>
      <protection/>
    </xf>
    <xf numFmtId="0" fontId="4" fillId="0" borderId="157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96" xfId="0" applyFont="1" applyBorder="1" applyAlignment="1" applyProtection="1">
      <alignment horizontal="center"/>
      <protection locked="0"/>
    </xf>
    <xf numFmtId="0" fontId="4" fillId="0" borderId="84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4" fillId="0" borderId="158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51" fillId="0" borderId="152" xfId="0" applyFont="1" applyBorder="1" applyAlignment="1" applyProtection="1">
      <alignment horizontal="center" vertical="center"/>
      <protection locked="0"/>
    </xf>
    <xf numFmtId="0" fontId="51" fillId="0" borderId="94" xfId="0" applyFont="1" applyBorder="1" applyAlignment="1" applyProtection="1">
      <alignment horizontal="center" vertical="center"/>
      <protection locked="0"/>
    </xf>
    <xf numFmtId="0" fontId="51" fillId="0" borderId="153" xfId="0" applyFont="1" applyBorder="1" applyAlignment="1" applyProtection="1">
      <alignment horizontal="center" vertical="center"/>
      <protection locked="0"/>
    </xf>
    <xf numFmtId="0" fontId="51" fillId="0" borderId="159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160" xfId="0" applyFont="1" applyBorder="1" applyAlignment="1" applyProtection="1">
      <alignment horizontal="center" vertical="center"/>
      <protection locked="0"/>
    </xf>
    <xf numFmtId="0" fontId="40" fillId="33" borderId="161" xfId="0" applyFont="1" applyFill="1" applyBorder="1" applyAlignment="1" applyProtection="1">
      <alignment horizontal="center" vertical="center"/>
      <protection locked="0"/>
    </xf>
    <xf numFmtId="0" fontId="40" fillId="33" borderId="52" xfId="0" applyFont="1" applyFill="1" applyBorder="1" applyAlignment="1" applyProtection="1">
      <alignment horizontal="center" vertical="center"/>
      <protection locked="0"/>
    </xf>
    <xf numFmtId="0" fontId="40" fillId="33" borderId="16" xfId="0" applyFont="1" applyFill="1" applyBorder="1" applyAlignment="1" applyProtection="1">
      <alignment horizontal="center" vertical="center"/>
      <protection locked="0"/>
    </xf>
    <xf numFmtId="0" fontId="40" fillId="33" borderId="162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right" vertical="center"/>
      <protection/>
    </xf>
    <xf numFmtId="0" fontId="4" fillId="0" borderId="163" xfId="0" applyFont="1" applyBorder="1" applyAlignment="1" applyProtection="1">
      <alignment horizontal="center"/>
      <protection locked="0"/>
    </xf>
    <xf numFmtId="20" fontId="4" fillId="0" borderId="158" xfId="0" applyNumberFormat="1" applyFont="1" applyBorder="1" applyAlignment="1" applyProtection="1">
      <alignment horizontal="center"/>
      <protection locked="0"/>
    </xf>
    <xf numFmtId="0" fontId="1" fillId="0" borderId="164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5" fillId="0" borderId="165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63" xfId="0" applyNumberFormat="1" applyFont="1" applyBorder="1" applyAlignment="1" applyProtection="1">
      <alignment horizontal="center"/>
      <protection/>
    </xf>
    <xf numFmtId="0" fontId="5" fillId="0" borderId="32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 horizontal="left"/>
      <protection/>
    </xf>
    <xf numFmtId="0" fontId="5" fillId="0" borderId="166" xfId="0" applyFont="1" applyBorder="1" applyAlignment="1" applyProtection="1">
      <alignment horizontal="left"/>
      <protection/>
    </xf>
    <xf numFmtId="0" fontId="5" fillId="0" borderId="23" xfId="0" applyNumberFormat="1" applyFont="1" applyBorder="1" applyAlignment="1" applyProtection="1">
      <alignment horizontal="center"/>
      <protection/>
    </xf>
    <xf numFmtId="166" fontId="5" fillId="0" borderId="126" xfId="0" applyNumberFormat="1" applyFont="1" applyBorder="1" applyAlignment="1" applyProtection="1">
      <alignment horizontal="center"/>
      <protection/>
    </xf>
    <xf numFmtId="166" fontId="5" fillId="0" borderId="23" xfId="0" applyNumberFormat="1" applyFont="1" applyBorder="1" applyAlignment="1" applyProtection="1">
      <alignment horizontal="center"/>
      <protection/>
    </xf>
    <xf numFmtId="20" fontId="5" fillId="0" borderId="23" xfId="0" applyNumberFormat="1" applyFont="1" applyBorder="1" applyAlignment="1" applyProtection="1">
      <alignment horizontal="center"/>
      <protection locked="0"/>
    </xf>
    <xf numFmtId="20" fontId="5" fillId="0" borderId="24" xfId="0" applyNumberFormat="1" applyFont="1" applyBorder="1" applyAlignment="1" applyProtection="1">
      <alignment horizontal="center"/>
      <protection locked="0"/>
    </xf>
    <xf numFmtId="0" fontId="5" fillId="0" borderId="126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126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9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5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 vertical="center" textRotation="90"/>
      <protection/>
    </xf>
    <xf numFmtId="0" fontId="44" fillId="0" borderId="0" xfId="0" applyFont="1" applyBorder="1" applyAlignment="1" applyProtection="1">
      <alignment vertical="center" textRotation="90"/>
      <protection/>
    </xf>
    <xf numFmtId="171" fontId="5" fillId="0" borderId="167" xfId="0" applyNumberFormat="1" applyFont="1" applyBorder="1" applyAlignment="1" applyProtection="1">
      <alignment horizontal="center"/>
      <protection/>
    </xf>
    <xf numFmtId="171" fontId="5" fillId="0" borderId="100" xfId="0" applyNumberFormat="1" applyFont="1" applyBorder="1" applyAlignment="1" applyProtection="1">
      <alignment horizontal="center"/>
      <protection/>
    </xf>
    <xf numFmtId="0" fontId="5" fillId="0" borderId="167" xfId="0" applyFont="1" applyBorder="1" applyAlignment="1" applyProtection="1">
      <alignment horizontal="center"/>
      <protection/>
    </xf>
    <xf numFmtId="0" fontId="5" fillId="0" borderId="100" xfId="0" applyFont="1" applyBorder="1" applyAlignment="1" applyProtection="1">
      <alignment horizontal="center"/>
      <protection/>
    </xf>
    <xf numFmtId="0" fontId="5" fillId="0" borderId="125" xfId="0" applyFont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0" fillId="0" borderId="146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128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1" fillId="0" borderId="16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horizontal="center"/>
      <protection locked="0"/>
    </xf>
    <xf numFmtId="0" fontId="1" fillId="33" borderId="85" xfId="0" applyFont="1" applyFill="1" applyBorder="1" applyAlignment="1" applyProtection="1">
      <alignment horizontal="center" vertical="center" textRotation="90"/>
      <protection locked="0"/>
    </xf>
    <xf numFmtId="0" fontId="1" fillId="33" borderId="93" xfId="0" applyFont="1" applyFill="1" applyBorder="1" applyAlignment="1" applyProtection="1">
      <alignment horizontal="center" vertical="center" textRotation="90"/>
      <protection locked="0"/>
    </xf>
    <xf numFmtId="0" fontId="31" fillId="0" borderId="168" xfId="0" applyFont="1" applyBorder="1" applyAlignment="1" applyProtection="1">
      <alignment horizontal="center" textRotation="90"/>
      <protection/>
    </xf>
    <xf numFmtId="0" fontId="31" fillId="0" borderId="49" xfId="0" applyFont="1" applyBorder="1" applyAlignment="1" applyProtection="1">
      <alignment horizontal="center" textRotation="90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31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9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0" fillId="37" borderId="47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/>
    </xf>
    <xf numFmtId="44" fontId="19" fillId="0" borderId="13" xfId="62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8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97" xfId="0" applyFont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132" xfId="0" applyFont="1" applyBorder="1" applyAlignment="1" applyProtection="1">
      <alignment horizontal="center"/>
      <protection locked="0"/>
    </xf>
    <xf numFmtId="0" fontId="5" fillId="0" borderId="134" xfId="0" applyFont="1" applyBorder="1" applyAlignment="1" applyProtection="1">
      <alignment horizontal="center"/>
      <protection locked="0"/>
    </xf>
    <xf numFmtId="0" fontId="5" fillId="0" borderId="8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95" xfId="0" applyFont="1" applyBorder="1" applyAlignment="1" applyProtection="1">
      <alignment horizontal="left"/>
      <protection locked="0"/>
    </xf>
    <xf numFmtId="170" fontId="5" fillId="0" borderId="84" xfId="0" applyNumberFormat="1" applyFont="1" applyBorder="1" applyAlignment="1" applyProtection="1">
      <alignment horizontal="center"/>
      <protection locked="0"/>
    </xf>
    <xf numFmtId="170" fontId="5" fillId="0" borderId="96" xfId="0" applyNumberFormat="1" applyFont="1" applyBorder="1" applyAlignment="1" applyProtection="1">
      <alignment horizontal="center"/>
      <protection locked="0"/>
    </xf>
    <xf numFmtId="1" fontId="5" fillId="0" borderId="84" xfId="0" applyNumberFormat="1" applyFont="1" applyFill="1" applyBorder="1" applyAlignment="1" applyProtection="1">
      <alignment horizontal="center"/>
      <protection locked="0"/>
    </xf>
    <xf numFmtId="1" fontId="5" fillId="0" borderId="57" xfId="0" applyNumberFormat="1" applyFont="1" applyFill="1" applyBorder="1" applyAlignment="1" applyProtection="1">
      <alignment horizontal="center"/>
      <protection locked="0"/>
    </xf>
    <xf numFmtId="1" fontId="5" fillId="0" borderId="96" xfId="0" applyNumberFormat="1" applyFont="1" applyFill="1" applyBorder="1" applyAlignment="1" applyProtection="1">
      <alignment horizontal="center"/>
      <protection locked="0"/>
    </xf>
    <xf numFmtId="49" fontId="5" fillId="0" borderId="84" xfId="0" applyNumberFormat="1" applyFont="1" applyFill="1" applyBorder="1" applyAlignment="1" applyProtection="1">
      <alignment horizontal="center"/>
      <protection locked="0"/>
    </xf>
    <xf numFmtId="49" fontId="5" fillId="0" borderId="96" xfId="0" applyNumberFormat="1" applyFont="1" applyFill="1" applyBorder="1" applyAlignment="1" applyProtection="1">
      <alignment horizontal="center"/>
      <protection locked="0"/>
    </xf>
    <xf numFmtId="0" fontId="5" fillId="0" borderId="84" xfId="0" applyFont="1" applyBorder="1" applyAlignment="1" applyProtection="1">
      <alignment horizontal="center"/>
      <protection locked="0"/>
    </xf>
    <xf numFmtId="0" fontId="5" fillId="0" borderId="96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left"/>
      <protection locked="0"/>
    </xf>
    <xf numFmtId="0" fontId="5" fillId="0" borderId="54" xfId="0" applyFont="1" applyBorder="1" applyAlignment="1" applyProtection="1">
      <alignment horizontal="left"/>
      <protection locked="0"/>
    </xf>
    <xf numFmtId="0" fontId="5" fillId="0" borderId="66" xfId="0" applyFont="1" applyBorder="1" applyAlignment="1" applyProtection="1">
      <alignment horizontal="left"/>
      <protection locked="0"/>
    </xf>
    <xf numFmtId="170" fontId="5" fillId="0" borderId="65" xfId="0" applyNumberFormat="1" applyFont="1" applyBorder="1" applyAlignment="1" applyProtection="1">
      <alignment horizontal="center"/>
      <protection locked="0"/>
    </xf>
    <xf numFmtId="170" fontId="5" fillId="0" borderId="66" xfId="0" applyNumberFormat="1" applyFont="1" applyBorder="1" applyAlignment="1" applyProtection="1">
      <alignment horizontal="center"/>
      <protection locked="0"/>
    </xf>
    <xf numFmtId="1" fontId="5" fillId="0" borderId="65" xfId="0" applyNumberFormat="1" applyFont="1" applyFill="1" applyBorder="1" applyAlignment="1" applyProtection="1">
      <alignment horizontal="center"/>
      <protection locked="0"/>
    </xf>
    <xf numFmtId="1" fontId="5" fillId="0" borderId="54" xfId="0" applyNumberFormat="1" applyFont="1" applyFill="1" applyBorder="1" applyAlignment="1" applyProtection="1">
      <alignment horizontal="center"/>
      <protection locked="0"/>
    </xf>
    <xf numFmtId="1" fontId="5" fillId="0" borderId="66" xfId="0" applyNumberFormat="1" applyFont="1" applyFill="1" applyBorder="1" applyAlignment="1" applyProtection="1">
      <alignment horizontal="center"/>
      <protection locked="0"/>
    </xf>
    <xf numFmtId="49" fontId="5" fillId="0" borderId="65" xfId="0" applyNumberFormat="1" applyFont="1" applyFill="1" applyBorder="1" applyAlignment="1" applyProtection="1">
      <alignment horizontal="center"/>
      <protection locked="0"/>
    </xf>
    <xf numFmtId="49" fontId="5" fillId="0" borderId="66" xfId="0" applyNumberFormat="1" applyFont="1" applyFill="1" applyBorder="1" applyAlignment="1" applyProtection="1">
      <alignment horizontal="center"/>
      <protection locked="0"/>
    </xf>
    <xf numFmtId="0" fontId="5" fillId="0" borderId="83" xfId="0" applyFont="1" applyBorder="1" applyAlignment="1" applyProtection="1">
      <alignment horizontal="center"/>
      <protection locked="0"/>
    </xf>
    <xf numFmtId="0" fontId="5" fillId="0" borderId="95" xfId="0" applyFont="1" applyBorder="1" applyAlignment="1" applyProtection="1">
      <alignment horizontal="center"/>
      <protection locked="0"/>
    </xf>
    <xf numFmtId="0" fontId="5" fillId="0" borderId="84" xfId="0" applyFont="1" applyBorder="1" applyAlignment="1" applyProtection="1">
      <alignment horizontal="left"/>
      <protection locked="0"/>
    </xf>
    <xf numFmtId="0" fontId="5" fillId="0" borderId="57" xfId="0" applyFont="1" applyBorder="1" applyAlignment="1" applyProtection="1">
      <alignment horizontal="left"/>
      <protection locked="0"/>
    </xf>
    <xf numFmtId="0" fontId="5" fillId="0" borderId="96" xfId="0" applyFont="1" applyBorder="1" applyAlignment="1" applyProtection="1">
      <alignment horizontal="left"/>
      <protection locked="0"/>
    </xf>
    <xf numFmtId="1" fontId="5" fillId="0" borderId="84" xfId="0" applyNumberFormat="1" applyFont="1" applyBorder="1" applyAlignment="1" applyProtection="1">
      <alignment horizontal="center"/>
      <protection locked="0"/>
    </xf>
    <xf numFmtId="1" fontId="5" fillId="0" borderId="57" xfId="0" applyNumberFormat="1" applyFont="1" applyBorder="1" applyAlignment="1" applyProtection="1">
      <alignment horizontal="center"/>
      <protection locked="0"/>
    </xf>
    <xf numFmtId="1" fontId="5" fillId="0" borderId="96" xfId="0" applyNumberFormat="1" applyFont="1" applyBorder="1" applyAlignment="1" applyProtection="1">
      <alignment horizontal="center"/>
      <protection locked="0"/>
    </xf>
    <xf numFmtId="49" fontId="5" fillId="0" borderId="84" xfId="0" applyNumberFormat="1" applyFont="1" applyBorder="1" applyAlignment="1" applyProtection="1">
      <alignment horizontal="center"/>
      <protection locked="0"/>
    </xf>
    <xf numFmtId="49" fontId="5" fillId="0" borderId="96" xfId="0" applyNumberFormat="1" applyFont="1" applyBorder="1" applyAlignment="1" applyProtection="1">
      <alignment horizontal="center"/>
      <protection locked="0"/>
    </xf>
    <xf numFmtId="1" fontId="5" fillId="0" borderId="83" xfId="0" applyNumberFormat="1" applyFont="1" applyBorder="1" applyAlignment="1" applyProtection="1">
      <alignment horizontal="center"/>
      <protection locked="0"/>
    </xf>
    <xf numFmtId="1" fontId="5" fillId="0" borderId="23" xfId="0" applyNumberFormat="1" applyFont="1" applyBorder="1" applyAlignment="1" applyProtection="1">
      <alignment horizontal="center"/>
      <protection locked="0"/>
    </xf>
    <xf numFmtId="1" fontId="5" fillId="0" borderId="95" xfId="0" applyNumberFormat="1" applyFont="1" applyBorder="1" applyAlignment="1" applyProtection="1">
      <alignment horizontal="center"/>
      <protection locked="0"/>
    </xf>
    <xf numFmtId="49" fontId="5" fillId="0" borderId="83" xfId="0" applyNumberFormat="1" applyFont="1" applyBorder="1" applyAlignment="1" applyProtection="1">
      <alignment horizontal="center"/>
      <protection locked="0"/>
    </xf>
    <xf numFmtId="49" fontId="5" fillId="0" borderId="95" xfId="0" applyNumberFormat="1" applyFont="1" applyBorder="1" applyAlignment="1" applyProtection="1">
      <alignment horizontal="center"/>
      <protection locked="0"/>
    </xf>
    <xf numFmtId="170" fontId="5" fillId="0" borderId="83" xfId="0" applyNumberFormat="1" applyFont="1" applyBorder="1" applyAlignment="1" applyProtection="1">
      <alignment horizontal="center"/>
      <protection locked="0"/>
    </xf>
    <xf numFmtId="170" fontId="5" fillId="0" borderId="23" xfId="0" applyNumberFormat="1" applyFont="1" applyBorder="1" applyAlignment="1" applyProtection="1">
      <alignment horizontal="center"/>
      <protection locked="0"/>
    </xf>
    <xf numFmtId="170" fontId="5" fillId="0" borderId="95" xfId="0" applyNumberFormat="1" applyFont="1" applyBorder="1" applyAlignment="1" applyProtection="1">
      <alignment horizontal="center"/>
      <protection locked="0"/>
    </xf>
    <xf numFmtId="170" fontId="5" fillId="0" borderId="54" xfId="0" applyNumberFormat="1" applyFont="1" applyBorder="1" applyAlignment="1" applyProtection="1">
      <alignment horizontal="center"/>
      <protection locked="0"/>
    </xf>
    <xf numFmtId="1" fontId="5" fillId="0" borderId="65" xfId="0" applyNumberFormat="1" applyFont="1" applyBorder="1" applyAlignment="1" applyProtection="1">
      <alignment horizontal="center"/>
      <protection locked="0"/>
    </xf>
    <xf numFmtId="1" fontId="5" fillId="0" borderId="54" xfId="0" applyNumberFormat="1" applyFont="1" applyBorder="1" applyAlignment="1" applyProtection="1">
      <alignment horizontal="center"/>
      <protection locked="0"/>
    </xf>
    <xf numFmtId="1" fontId="5" fillId="0" borderId="66" xfId="0" applyNumberFormat="1" applyFont="1" applyBorder="1" applyAlignment="1" applyProtection="1">
      <alignment horizontal="center"/>
      <protection locked="0"/>
    </xf>
    <xf numFmtId="49" fontId="5" fillId="0" borderId="65" xfId="0" applyNumberFormat="1" applyFont="1" applyBorder="1" applyAlignment="1" applyProtection="1">
      <alignment horizontal="center"/>
      <protection locked="0"/>
    </xf>
    <xf numFmtId="49" fontId="5" fillId="0" borderId="66" xfId="0" applyNumberFormat="1" applyFont="1" applyBorder="1" applyAlignment="1" applyProtection="1">
      <alignment horizontal="center"/>
      <protection locked="0"/>
    </xf>
    <xf numFmtId="0" fontId="28" fillId="0" borderId="89" xfId="0" applyFont="1" applyBorder="1" applyAlignment="1" applyProtection="1">
      <alignment horizontal="center"/>
      <protection/>
    </xf>
    <xf numFmtId="0" fontId="28" fillId="0" borderId="90" xfId="0" applyFont="1" applyBorder="1" applyAlignment="1" applyProtection="1">
      <alignment horizontal="center"/>
      <protection/>
    </xf>
    <xf numFmtId="0" fontId="28" fillId="0" borderId="91" xfId="0" applyFont="1" applyBorder="1" applyAlignment="1" applyProtection="1">
      <alignment horizontal="center"/>
      <protection/>
    </xf>
    <xf numFmtId="0" fontId="28" fillId="0" borderId="131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8" fillId="0" borderId="84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left"/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1" fillId="0" borderId="96" xfId="0" applyFont="1" applyBorder="1" applyAlignment="1" applyProtection="1">
      <alignment horizontal="left"/>
      <protection locked="0"/>
    </xf>
    <xf numFmtId="1" fontId="28" fillId="0" borderId="132" xfId="0" applyNumberFormat="1" applyFont="1" applyFill="1" applyBorder="1" applyAlignment="1" applyProtection="1">
      <alignment horizontal="center"/>
      <protection locked="0"/>
    </xf>
    <xf numFmtId="1" fontId="28" fillId="0" borderId="100" xfId="0" applyNumberFormat="1" applyFont="1" applyFill="1" applyBorder="1" applyAlignment="1" applyProtection="1">
      <alignment horizontal="center"/>
      <protection locked="0"/>
    </xf>
    <xf numFmtId="1" fontId="28" fillId="0" borderId="134" xfId="0" applyNumberFormat="1" applyFont="1" applyFill="1" applyBorder="1" applyAlignment="1" applyProtection="1">
      <alignment horizontal="center"/>
      <protection locked="0"/>
    </xf>
    <xf numFmtId="0" fontId="28" fillId="0" borderId="132" xfId="0" applyFont="1" applyBorder="1" applyAlignment="1" applyProtection="1">
      <alignment horizontal="left"/>
      <protection locked="0"/>
    </xf>
    <xf numFmtId="0" fontId="28" fillId="0" borderId="100" xfId="0" applyFont="1" applyBorder="1" applyAlignment="1" applyProtection="1">
      <alignment horizontal="left"/>
      <protection locked="0"/>
    </xf>
    <xf numFmtId="0" fontId="28" fillId="0" borderId="134" xfId="0" applyFont="1" applyBorder="1" applyAlignment="1" applyProtection="1">
      <alignment horizontal="left"/>
      <protection locked="0"/>
    </xf>
    <xf numFmtId="0" fontId="28" fillId="0" borderId="83" xfId="0" applyFont="1" applyBorder="1" applyAlignment="1" applyProtection="1">
      <alignment horizontal="left"/>
      <protection locked="0"/>
    </xf>
    <xf numFmtId="0" fontId="28" fillId="0" borderId="23" xfId="0" applyFont="1" applyBorder="1" applyAlignment="1" applyProtection="1">
      <alignment horizontal="left"/>
      <protection locked="0"/>
    </xf>
    <xf numFmtId="0" fontId="28" fillId="0" borderId="95" xfId="0" applyFont="1" applyBorder="1" applyAlignment="1" applyProtection="1">
      <alignment horizontal="left"/>
      <protection locked="0"/>
    </xf>
    <xf numFmtId="170" fontId="28" fillId="0" borderId="84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6" xfId="0" applyNumberFormat="1" applyFont="1" applyFill="1" applyBorder="1" applyAlignment="1" applyProtection="1">
      <alignment horizontal="center"/>
      <protection locked="0"/>
    </xf>
    <xf numFmtId="49" fontId="28" fillId="0" borderId="84" xfId="0" applyNumberFormat="1" applyFont="1" applyFill="1" applyBorder="1" applyAlignment="1" applyProtection="1">
      <alignment horizontal="center"/>
      <protection locked="0"/>
    </xf>
    <xf numFmtId="49" fontId="28" fillId="0" borderId="96" xfId="0" applyNumberFormat="1" applyFont="1" applyFill="1" applyBorder="1" applyAlignment="1" applyProtection="1">
      <alignment horizontal="center"/>
      <protection locked="0"/>
    </xf>
    <xf numFmtId="170" fontId="28" fillId="0" borderId="57" xfId="0" applyNumberFormat="1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95" xfId="0" applyFont="1" applyBorder="1" applyAlignment="1" applyProtection="1">
      <alignment horizontal="left"/>
      <protection locked="0"/>
    </xf>
    <xf numFmtId="170" fontId="1" fillId="0" borderId="83" xfId="0" applyNumberFormat="1" applyFont="1" applyBorder="1" applyAlignment="1" applyProtection="1">
      <alignment horizontal="center"/>
      <protection locked="0"/>
    </xf>
    <xf numFmtId="170" fontId="1" fillId="0" borderId="95" xfId="0" applyNumberFormat="1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 wrapText="1"/>
      <protection locked="0"/>
    </xf>
    <xf numFmtId="0" fontId="28" fillId="0" borderId="23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49" fontId="1" fillId="0" borderId="95" xfId="0" applyNumberFormat="1" applyFont="1" applyBorder="1" applyAlignment="1" applyProtection="1">
      <alignment horizontal="center"/>
      <protection locked="0"/>
    </xf>
    <xf numFmtId="49" fontId="28" fillId="33" borderId="23" xfId="0" applyNumberFormat="1" applyFont="1" applyFill="1" applyBorder="1" applyAlignment="1" applyProtection="1">
      <alignment horizontal="center"/>
      <protection locked="0"/>
    </xf>
    <xf numFmtId="49" fontId="28" fillId="33" borderId="95" xfId="0" applyNumberFormat="1" applyFont="1" applyFill="1" applyBorder="1" applyAlignment="1" applyProtection="1">
      <alignment horizontal="center"/>
      <protection locked="0"/>
    </xf>
    <xf numFmtId="170" fontId="28" fillId="0" borderId="83" xfId="0" applyNumberFormat="1" applyFont="1" applyBorder="1" applyAlignment="1" applyProtection="1">
      <alignment horizontal="center"/>
      <protection locked="0"/>
    </xf>
    <xf numFmtId="170" fontId="28" fillId="0" borderId="95" xfId="0" applyNumberFormat="1" applyFont="1" applyBorder="1" applyAlignment="1" applyProtection="1">
      <alignment horizontal="center"/>
      <protection locked="0"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170" fontId="28" fillId="0" borderId="132" xfId="0" applyNumberFormat="1" applyFont="1" applyBorder="1" applyAlignment="1" applyProtection="1">
      <alignment horizontal="center"/>
      <protection locked="0"/>
    </xf>
    <xf numFmtId="170" fontId="28" fillId="0" borderId="134" xfId="0" applyNumberFormat="1" applyFont="1" applyBorder="1" applyAlignment="1" applyProtection="1">
      <alignment horizontal="center"/>
      <protection locked="0"/>
    </xf>
    <xf numFmtId="49" fontId="28" fillId="0" borderId="57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132" xfId="0" applyNumberFormat="1" applyFont="1" applyFill="1" applyBorder="1" applyAlignment="1" applyProtection="1">
      <alignment horizontal="center"/>
      <protection locked="0"/>
    </xf>
    <xf numFmtId="49" fontId="28" fillId="0" borderId="134" xfId="0" applyNumberFormat="1" applyFont="1" applyFill="1" applyBorder="1" applyAlignment="1" applyProtection="1">
      <alignment horizontal="center"/>
      <protection locked="0"/>
    </xf>
    <xf numFmtId="1" fontId="1" fillId="0" borderId="83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95" xfId="0" applyNumberFormat="1" applyFont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170" fontId="1" fillId="0" borderId="65" xfId="0" applyNumberFormat="1" applyFont="1" applyBorder="1" applyAlignment="1" applyProtection="1">
      <alignment horizontal="center"/>
      <protection locked="0"/>
    </xf>
    <xf numFmtId="170" fontId="1" fillId="0" borderId="66" xfId="0" applyNumberFormat="1" applyFont="1" applyBorder="1" applyAlignment="1" applyProtection="1">
      <alignment horizontal="center"/>
      <protection locked="0"/>
    </xf>
    <xf numFmtId="1" fontId="1" fillId="0" borderId="65" xfId="0" applyNumberFormat="1" applyFont="1" applyBorder="1" applyAlignment="1" applyProtection="1">
      <alignment horizontal="center"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1" fontId="1" fillId="0" borderId="6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28" fillId="0" borderId="74" xfId="0" applyFont="1" applyBorder="1" applyAlignment="1" applyProtection="1">
      <alignment horizontal="left"/>
      <protection locked="0"/>
    </xf>
    <xf numFmtId="170" fontId="28" fillId="0" borderId="74" xfId="0" applyNumberFormat="1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left"/>
      <protection locked="0"/>
    </xf>
    <xf numFmtId="170" fontId="28" fillId="0" borderId="69" xfId="0" applyNumberFormat="1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1" fontId="28" fillId="0" borderId="74" xfId="0" applyNumberFormat="1" applyFont="1" applyFill="1" applyBorder="1" applyAlignment="1" applyProtection="1">
      <alignment horizontal="center"/>
      <protection locked="0"/>
    </xf>
    <xf numFmtId="49" fontId="28" fillId="0" borderId="74" xfId="0" applyNumberFormat="1" applyFont="1" applyFill="1" applyBorder="1" applyAlignment="1" applyProtection="1">
      <alignment horizontal="center"/>
      <protection locked="0"/>
    </xf>
    <xf numFmtId="1" fontId="28" fillId="0" borderId="69" xfId="0" applyNumberFormat="1" applyFont="1" applyFill="1" applyBorder="1" applyAlignment="1" applyProtection="1">
      <alignment horizontal="center"/>
      <protection locked="0"/>
    </xf>
    <xf numFmtId="49" fontId="28" fillId="0" borderId="69" xfId="0" applyNumberFormat="1" applyFont="1" applyFill="1" applyBorder="1" applyAlignment="1" applyProtection="1">
      <alignment horizontal="center"/>
      <protection locked="0"/>
    </xf>
    <xf numFmtId="0" fontId="28" fillId="0" borderId="72" xfId="0" applyFont="1" applyBorder="1" applyAlignment="1" applyProtection="1">
      <alignment horizontal="center"/>
      <protection locked="0"/>
    </xf>
    <xf numFmtId="1" fontId="28" fillId="0" borderId="74" xfId="0" applyNumberFormat="1" applyFont="1" applyBorder="1" applyAlignment="1" applyProtection="1">
      <alignment horizontal="center"/>
      <protection locked="0"/>
    </xf>
    <xf numFmtId="49" fontId="28" fillId="0" borderId="74" xfId="0" applyNumberFormat="1" applyFont="1" applyBorder="1" applyAlignment="1" applyProtection="1">
      <alignment horizontal="center"/>
      <protection locked="0"/>
    </xf>
    <xf numFmtId="1" fontId="28" fillId="0" borderId="72" xfId="0" applyNumberFormat="1" applyFont="1" applyBorder="1" applyAlignment="1" applyProtection="1">
      <alignment horizontal="center"/>
      <protection locked="0"/>
    </xf>
    <xf numFmtId="49" fontId="28" fillId="0" borderId="72" xfId="0" applyNumberFormat="1" applyFont="1" applyBorder="1" applyAlignment="1" applyProtection="1">
      <alignment horizontal="center"/>
      <protection locked="0"/>
    </xf>
    <xf numFmtId="170" fontId="28" fillId="0" borderId="72" xfId="0" applyNumberFormat="1" applyFont="1" applyBorder="1" applyAlignment="1" applyProtection="1">
      <alignment horizontal="center"/>
      <protection locked="0"/>
    </xf>
    <xf numFmtId="1" fontId="28" fillId="0" borderId="83" xfId="0" applyNumberFormat="1" applyFont="1" applyBorder="1" applyAlignment="1" applyProtection="1">
      <alignment horizontal="center"/>
      <protection locked="0"/>
    </xf>
    <xf numFmtId="1" fontId="28" fillId="0" borderId="23" xfId="0" applyNumberFormat="1" applyFont="1" applyBorder="1" applyAlignment="1" applyProtection="1">
      <alignment horizontal="center"/>
      <protection locked="0"/>
    </xf>
    <xf numFmtId="1" fontId="28" fillId="0" borderId="95" xfId="0" applyNumberFormat="1" applyFont="1" applyBorder="1" applyAlignment="1" applyProtection="1">
      <alignment horizontal="center"/>
      <protection locked="0"/>
    </xf>
    <xf numFmtId="49" fontId="28" fillId="0" borderId="83" xfId="0" applyNumberFormat="1" applyFont="1" applyBorder="1" applyAlignment="1" applyProtection="1">
      <alignment horizontal="center"/>
      <protection locked="0"/>
    </xf>
    <xf numFmtId="49" fontId="28" fillId="0" borderId="95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6" xfId="0" applyFont="1" applyBorder="1" applyAlignment="1" applyProtection="1">
      <alignment horizontal="left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 wrapText="1"/>
      <protection locked="0"/>
    </xf>
    <xf numFmtId="0" fontId="28" fillId="0" borderId="57" xfId="0" applyFont="1" applyBorder="1" applyAlignment="1" applyProtection="1">
      <alignment horizontal="center"/>
      <protection locked="0"/>
    </xf>
    <xf numFmtId="49" fontId="28" fillId="33" borderId="57" xfId="0" applyNumberFormat="1" applyFont="1" applyFill="1" applyBorder="1" applyAlignment="1" applyProtection="1">
      <alignment horizontal="center"/>
      <protection locked="0"/>
    </xf>
    <xf numFmtId="49" fontId="28" fillId="33" borderId="96" xfId="0" applyNumberFormat="1" applyFont="1" applyFill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6" xfId="0" applyFont="1" applyBorder="1" applyAlignment="1" applyProtection="1">
      <alignment horizontal="left"/>
      <protection locked="0"/>
    </xf>
    <xf numFmtId="170" fontId="28" fillId="0" borderId="84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6" xfId="0" applyNumberFormat="1" applyFont="1" applyFill="1" applyBorder="1" applyAlignment="1" applyProtection="1">
      <alignment horizontal="center"/>
      <protection locked="0"/>
    </xf>
    <xf numFmtId="49" fontId="28" fillId="0" borderId="84" xfId="0" applyNumberFormat="1" applyFont="1" applyFill="1" applyBorder="1" applyAlignment="1" applyProtection="1">
      <alignment horizontal="center"/>
      <protection locked="0"/>
    </xf>
    <xf numFmtId="49" fontId="28" fillId="0" borderId="96" xfId="0" applyNumberFormat="1" applyFont="1" applyFill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5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1" fontId="28" fillId="0" borderId="84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84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1" fontId="1" fillId="0" borderId="83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95" xfId="0" applyNumberFormat="1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49" fontId="1" fillId="0" borderId="95" xfId="0" applyNumberFormat="1" applyFont="1" applyBorder="1" applyAlignment="1" applyProtection="1">
      <alignment horizontal="center"/>
      <protection locked="0"/>
    </xf>
    <xf numFmtId="170" fontId="1" fillId="0" borderId="83" xfId="0" applyNumberFormat="1" applyFont="1" applyBorder="1" applyAlignment="1" applyProtection="1">
      <alignment horizontal="center"/>
      <protection locked="0"/>
    </xf>
    <xf numFmtId="170" fontId="1" fillId="0" borderId="95" xfId="0" applyNumberFormat="1" applyFont="1" applyBorder="1" applyAlignment="1" applyProtection="1">
      <alignment horizontal="center"/>
      <protection locked="0"/>
    </xf>
    <xf numFmtId="170" fontId="1" fillId="0" borderId="132" xfId="0" applyNumberFormat="1" applyFont="1" applyBorder="1" applyAlignment="1" applyProtection="1">
      <alignment horizontal="center"/>
      <protection locked="0"/>
    </xf>
    <xf numFmtId="170" fontId="1" fillId="0" borderId="134" xfId="0" applyNumberFormat="1" applyFont="1" applyBorder="1" applyAlignment="1" applyProtection="1">
      <alignment horizontal="center"/>
      <protection locked="0"/>
    </xf>
    <xf numFmtId="1" fontId="1" fillId="0" borderId="132" xfId="0" applyNumberFormat="1" applyFont="1" applyBorder="1" applyAlignment="1" applyProtection="1">
      <alignment horizontal="center"/>
      <protection locked="0"/>
    </xf>
    <xf numFmtId="1" fontId="1" fillId="0" borderId="100" xfId="0" applyNumberFormat="1" applyFont="1" applyBorder="1" applyAlignment="1" applyProtection="1">
      <alignment horizontal="center"/>
      <protection locked="0"/>
    </xf>
    <xf numFmtId="1" fontId="1" fillId="0" borderId="134" xfId="0" applyNumberFormat="1" applyFont="1" applyBorder="1" applyAlignment="1" applyProtection="1">
      <alignment horizontal="center"/>
      <protection locked="0"/>
    </xf>
    <xf numFmtId="49" fontId="1" fillId="0" borderId="132" xfId="0" applyNumberFormat="1" applyFont="1" applyBorder="1" applyAlignment="1" applyProtection="1">
      <alignment horizontal="center"/>
      <protection locked="0"/>
    </xf>
    <xf numFmtId="49" fontId="1" fillId="0" borderId="134" xfId="0" applyNumberFormat="1" applyFont="1" applyBorder="1" applyAlignment="1" applyProtection="1">
      <alignment horizontal="center"/>
      <protection locked="0"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center"/>
      <protection locked="0"/>
    </xf>
    <xf numFmtId="49" fontId="28" fillId="0" borderId="84" xfId="0" applyNumberFormat="1" applyFont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49" fontId="48" fillId="0" borderId="72" xfId="0" applyNumberFormat="1" applyFont="1" applyBorder="1" applyAlignment="1" applyProtection="1">
      <alignment horizontal="center"/>
      <protection locked="0"/>
    </xf>
    <xf numFmtId="170" fontId="1" fillId="0" borderId="84" xfId="0" applyNumberFormat="1" applyFont="1" applyBorder="1" applyAlignment="1" applyProtection="1">
      <alignment horizontal="center"/>
      <protection locked="0"/>
    </xf>
    <xf numFmtId="170" fontId="1" fillId="0" borderId="96" xfId="0" applyNumberFormat="1" applyFont="1" applyBorder="1" applyAlignment="1" applyProtection="1">
      <alignment horizontal="center"/>
      <protection locked="0"/>
    </xf>
    <xf numFmtId="1" fontId="1" fillId="0" borderId="84" xfId="0" applyNumberFormat="1" applyFont="1" applyBorder="1" applyAlignment="1" applyProtection="1">
      <alignment horizontal="center"/>
      <protection locked="0"/>
    </xf>
    <xf numFmtId="1" fontId="1" fillId="0" borderId="57" xfId="0" applyNumberFormat="1" applyFont="1" applyBorder="1" applyAlignment="1" applyProtection="1">
      <alignment horizontal="center"/>
      <protection locked="0"/>
    </xf>
    <xf numFmtId="1" fontId="1" fillId="0" borderId="96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49" fontId="1" fillId="0" borderId="96" xfId="0" applyNumberFormat="1" applyFont="1" applyBorder="1" applyAlignment="1" applyProtection="1">
      <alignment horizontal="center"/>
      <protection locked="0"/>
    </xf>
    <xf numFmtId="0" fontId="1" fillId="0" borderId="169" xfId="0" applyFont="1" applyBorder="1" applyAlignment="1" applyProtection="1">
      <alignment horizontal="left"/>
      <protection locked="0"/>
    </xf>
    <xf numFmtId="0" fontId="1" fillId="0" borderId="170" xfId="0" applyFont="1" applyBorder="1" applyAlignment="1" applyProtection="1">
      <alignment horizontal="left"/>
      <protection locked="0"/>
    </xf>
    <xf numFmtId="0" fontId="1" fillId="0" borderId="171" xfId="0" applyFont="1" applyBorder="1" applyAlignment="1" applyProtection="1">
      <alignment horizontal="left"/>
      <protection locked="0"/>
    </xf>
    <xf numFmtId="49" fontId="1" fillId="0" borderId="72" xfId="0" applyNumberFormat="1" applyFont="1" applyBorder="1" applyAlignment="1" applyProtection="1">
      <alignment horizontal="center"/>
      <protection locked="0"/>
    </xf>
    <xf numFmtId="170" fontId="1" fillId="0" borderId="72" xfId="0" applyNumberFormat="1" applyFont="1" applyBorder="1" applyAlignment="1" applyProtection="1">
      <alignment horizontal="center"/>
      <protection locked="0"/>
    </xf>
    <xf numFmtId="1" fontId="1" fillId="0" borderId="72" xfId="0" applyNumberFormat="1" applyFont="1" applyBorder="1" applyAlignment="1" applyProtection="1">
      <alignment horizontal="center"/>
      <protection locked="0"/>
    </xf>
    <xf numFmtId="49" fontId="1" fillId="0" borderId="69" xfId="0" applyNumberFormat="1" applyFont="1" applyBorder="1" applyAlignment="1" applyProtection="1">
      <alignment horizontal="center"/>
      <protection locked="0"/>
    </xf>
    <xf numFmtId="170" fontId="1" fillId="0" borderId="69" xfId="0" applyNumberFormat="1" applyFont="1" applyBorder="1" applyAlignment="1" applyProtection="1">
      <alignment horizontal="center"/>
      <protection locked="0"/>
    </xf>
    <xf numFmtId="1" fontId="1" fillId="0" borderId="69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5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14" fontId="1" fillId="0" borderId="83" xfId="0" applyNumberFormat="1" applyFont="1" applyBorder="1" applyAlignment="1" applyProtection="1">
      <alignment horizontal="center"/>
      <protection locked="0"/>
    </xf>
    <xf numFmtId="14" fontId="1" fillId="0" borderId="95" xfId="0" applyNumberFormat="1" applyFont="1" applyBorder="1" applyAlignment="1" applyProtection="1">
      <alignment horizontal="center"/>
      <protection locked="0"/>
    </xf>
    <xf numFmtId="14" fontId="1" fillId="0" borderId="65" xfId="0" applyNumberFormat="1" applyFont="1" applyBorder="1" applyAlignment="1" applyProtection="1">
      <alignment horizontal="center"/>
      <protection locked="0"/>
    </xf>
    <xf numFmtId="14" fontId="1" fillId="0" borderId="66" xfId="0" applyNumberFormat="1" applyFont="1" applyBorder="1" applyAlignment="1" applyProtection="1">
      <alignment horizontal="center"/>
      <protection locked="0"/>
    </xf>
    <xf numFmtId="1" fontId="1" fillId="0" borderId="65" xfId="0" applyNumberFormat="1" applyFont="1" applyBorder="1" applyAlignment="1" applyProtection="1">
      <alignment horizontal="center"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1" fontId="1" fillId="0" borderId="66" xfId="0" applyNumberFormat="1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0" fontId="49" fillId="0" borderId="172" xfId="0" applyFont="1" applyBorder="1" applyAlignment="1" applyProtection="1">
      <alignment horizontal="left" vertical="center" wrapText="1"/>
      <protection locked="0"/>
    </xf>
    <xf numFmtId="0" fontId="49" fillId="0" borderId="173" xfId="0" applyFont="1" applyBorder="1" applyAlignment="1" applyProtection="1">
      <alignment horizontal="left" vertical="center" wrapText="1"/>
      <protection locked="0"/>
    </xf>
    <xf numFmtId="0" fontId="49" fillId="0" borderId="174" xfId="0" applyFont="1" applyBorder="1" applyAlignment="1" applyProtection="1">
      <alignment horizontal="left" vertical="center" wrapText="1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14" fontId="49" fillId="0" borderId="83" xfId="0" applyNumberFormat="1" applyFont="1" applyBorder="1" applyAlignment="1" applyProtection="1">
      <alignment horizontal="center" vertical="center" wrapText="1"/>
      <protection locked="0"/>
    </xf>
    <xf numFmtId="14" fontId="49" fillId="0" borderId="95" xfId="0" applyNumberFormat="1" applyFont="1" applyBorder="1" applyAlignment="1" applyProtection="1">
      <alignment horizontal="center" vertical="center" wrapText="1"/>
      <protection locked="0"/>
    </xf>
    <xf numFmtId="0" fontId="49" fillId="0" borderId="83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95" xfId="0" applyFont="1" applyBorder="1" applyAlignment="1" applyProtection="1">
      <alignment horizontal="center" vertical="center" wrapText="1"/>
      <protection locked="0"/>
    </xf>
    <xf numFmtId="14" fontId="49" fillId="0" borderId="65" xfId="0" applyNumberFormat="1" applyFont="1" applyBorder="1" applyAlignment="1" applyProtection="1">
      <alignment horizontal="center" vertical="center" wrapText="1"/>
      <protection locked="0"/>
    </xf>
    <xf numFmtId="14" fontId="49" fillId="0" borderId="66" xfId="0" applyNumberFormat="1" applyFont="1" applyBorder="1" applyAlignment="1" applyProtection="1">
      <alignment horizontal="center" vertical="center" wrapText="1"/>
      <protection locked="0"/>
    </xf>
    <xf numFmtId="0" fontId="49" fillId="0" borderId="65" xfId="0" applyFont="1" applyBorder="1" applyAlignment="1" applyProtection="1">
      <alignment horizontal="center" vertical="center" wrapText="1"/>
      <protection locked="0"/>
    </xf>
    <xf numFmtId="0" fontId="49" fillId="0" borderId="54" xfId="0" applyFont="1" applyBorder="1" applyAlignment="1" applyProtection="1">
      <alignment horizontal="center" vertical="center" wrapText="1"/>
      <protection locked="0"/>
    </xf>
    <xf numFmtId="0" fontId="49" fillId="0" borderId="66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85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172" fontId="0" fillId="0" borderId="85" xfId="0" applyNumberFormat="1" applyBorder="1" applyAlignment="1" applyProtection="1">
      <alignment horizontal="center"/>
      <protection/>
    </xf>
    <xf numFmtId="172" fontId="0" fillId="0" borderId="88" xfId="0" applyNumberFormat="1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49" fontId="0" fillId="0" borderId="85" xfId="0" applyNumberFormat="1" applyBorder="1" applyAlignment="1" applyProtection="1">
      <alignment horizontal="center"/>
      <protection locked="0"/>
    </xf>
    <xf numFmtId="49" fontId="0" fillId="0" borderId="88" xfId="0" applyNumberFormat="1" applyBorder="1" applyAlignment="1" applyProtection="1">
      <alignment horizontal="center"/>
      <protection locked="0"/>
    </xf>
    <xf numFmtId="0" fontId="29" fillId="0" borderId="85" xfId="0" applyFont="1" applyBorder="1" applyAlignment="1" applyProtection="1">
      <alignment horizontal="center"/>
      <protection locked="0"/>
    </xf>
    <xf numFmtId="0" fontId="29" fillId="0" borderId="88" xfId="0" applyFont="1" applyBorder="1" applyAlignment="1" applyProtection="1">
      <alignment horizontal="center"/>
      <protection locked="0"/>
    </xf>
    <xf numFmtId="0" fontId="0" fillId="0" borderId="152" xfId="0" applyBorder="1" applyAlignment="1" applyProtection="1">
      <alignment/>
      <protection locked="0"/>
    </xf>
    <xf numFmtId="0" fontId="0" fillId="0" borderId="94" xfId="0" applyBorder="1" applyAlignment="1" applyProtection="1">
      <alignment/>
      <protection locked="0"/>
    </xf>
    <xf numFmtId="0" fontId="0" fillId="0" borderId="153" xfId="0" applyBorder="1" applyAlignment="1" applyProtection="1">
      <alignment/>
      <protection locked="0"/>
    </xf>
    <xf numFmtId="0" fontId="0" fillId="0" borderId="133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30" xfId="0" applyBorder="1" applyAlignment="1" applyProtection="1">
      <alignment/>
      <protection locked="0"/>
    </xf>
    <xf numFmtId="172" fontId="0" fillId="0" borderId="85" xfId="0" applyNumberFormat="1" applyBorder="1" applyAlignment="1" applyProtection="1">
      <alignment horizontal="center"/>
      <protection locked="0"/>
    </xf>
    <xf numFmtId="172" fontId="0" fillId="0" borderId="88" xfId="0" applyNumberFormat="1" applyBorder="1" applyAlignment="1" applyProtection="1">
      <alignment horizontal="center"/>
      <protection locked="0"/>
    </xf>
    <xf numFmtId="49" fontId="0" fillId="0" borderId="85" xfId="0" applyNumberFormat="1" applyFont="1" applyBorder="1" applyAlignment="1" applyProtection="1">
      <alignment horizontal="center"/>
      <protection locked="0"/>
    </xf>
    <xf numFmtId="0" fontId="29" fillId="0" borderId="85" xfId="0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left" vertical="justify"/>
      <protection/>
    </xf>
    <xf numFmtId="0" fontId="0" fillId="0" borderId="152" xfId="0" applyBorder="1" applyAlignment="1" applyProtection="1">
      <alignment horizontal="center" vertical="center" wrapText="1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153" xfId="0" applyBorder="1" applyAlignment="1" applyProtection="1">
      <alignment horizontal="center" vertical="center"/>
      <protection/>
    </xf>
    <xf numFmtId="0" fontId="0" fillId="0" borderId="133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30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178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justify" wrapText="1"/>
      <protection/>
    </xf>
    <xf numFmtId="0" fontId="7" fillId="0" borderId="0" xfId="0" applyFont="1" applyAlignment="1" applyProtection="1">
      <alignment horizontal="left" vertical="justify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Euro 2" xfId="48"/>
    <cellStyle name="Gut" xfId="49"/>
    <cellStyle name="Hyperlink" xfId="50"/>
    <cellStyle name="Hyperlink 2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dxfs count="5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63"/>
      </font>
      <fill>
        <patternFill patternType="solid">
          <fgColor indexed="34"/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 val="0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57150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34</xdr:col>
      <xdr:colOff>152400</xdr:colOff>
      <xdr:row>3</xdr:row>
      <xdr:rowOff>57150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57150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34</xdr:col>
      <xdr:colOff>152400</xdr:colOff>
      <xdr:row>3</xdr:row>
      <xdr:rowOff>57150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4</xdr:row>
      <xdr:rowOff>9525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695325</xdr:colOff>
      <xdr:row>4</xdr:row>
      <xdr:rowOff>9525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733425</xdr:colOff>
      <xdr:row>44</xdr:row>
      <xdr:rowOff>28575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152400</xdr:rowOff>
    </xdr:from>
    <xdr:to>
      <xdr:col>10</xdr:col>
      <xdr:colOff>304800</xdr:colOff>
      <xdr:row>12</xdr:row>
      <xdr:rowOff>304800</xdr:rowOff>
    </xdr:to>
    <xdr:sp>
      <xdr:nvSpPr>
        <xdr:cNvPr id="13" name="Rechteckige Legende 23"/>
        <xdr:cNvSpPr>
          <a:spLocks/>
        </xdr:cNvSpPr>
      </xdr:nvSpPr>
      <xdr:spPr>
        <a:xfrm>
          <a:off x="7305675" y="3543300"/>
          <a:ext cx="1028700" cy="152400"/>
        </a:xfrm>
        <a:prstGeom prst="wedgeRectCallout">
          <a:avLst>
            <a:gd name="adj1" fmla="val -17129"/>
            <a:gd name="adj2" fmla="val -127083"/>
          </a:avLst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Ausrichter</a:t>
          </a:r>
        </a:p>
      </xdr:txBody>
    </xdr:sp>
    <xdr:clientData/>
  </xdr:twoCellAnchor>
  <xdr:twoCellAnchor>
    <xdr:from>
      <xdr:col>9</xdr:col>
      <xdr:colOff>28575</xdr:colOff>
      <xdr:row>14</xdr:row>
      <xdr:rowOff>171450</xdr:rowOff>
    </xdr:from>
    <xdr:to>
      <xdr:col>9</xdr:col>
      <xdr:colOff>704850</xdr:colOff>
      <xdr:row>14</xdr:row>
      <xdr:rowOff>314325</xdr:rowOff>
    </xdr:to>
    <xdr:sp>
      <xdr:nvSpPr>
        <xdr:cNvPr id="14" name="Rechteckige Legende 32"/>
        <xdr:cNvSpPr>
          <a:spLocks/>
        </xdr:cNvSpPr>
      </xdr:nvSpPr>
      <xdr:spPr>
        <a:xfrm>
          <a:off x="7296150" y="4324350"/>
          <a:ext cx="676275" cy="142875"/>
        </a:xfrm>
        <a:prstGeom prst="wedgeRectCallout">
          <a:avLst>
            <a:gd name="adj1" fmla="val 18083"/>
            <a:gd name="adj2" fmla="val -12041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x.</a:t>
          </a:r>
          <a:r>
            <a:rPr lang="en-US" cap="none" sz="800" b="1" i="0" u="none" baseline="0">
              <a:solidFill>
                <a:srgbClr val="000000"/>
              </a:solidFill>
            </a:rPr>
            <a:t> Y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200025</xdr:rowOff>
    </xdr:to>
    <xdr:pic>
      <xdr:nvPicPr>
        <xdr:cNvPr id="15" name="Grafik 3" descr="DFBL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695325</xdr:colOff>
      <xdr:row>3</xdr:row>
      <xdr:rowOff>200025</xdr:rowOff>
    </xdr:to>
    <xdr:pic>
      <xdr:nvPicPr>
        <xdr:cNvPr id="16" name="Grafik 3" descr="DFBL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2</xdr:row>
      <xdr:rowOff>266700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219075</xdr:colOff>
      <xdr:row>2</xdr:row>
      <xdr:rowOff>266700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695325</xdr:colOff>
      <xdr:row>3</xdr:row>
      <xdr:rowOff>123825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695325</xdr:colOff>
      <xdr:row>3</xdr:row>
      <xdr:rowOff>123825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4</xdr:row>
      <xdr:rowOff>142875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9525</xdr:colOff>
      <xdr:row>4</xdr:row>
      <xdr:rowOff>142875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142875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514350</xdr:colOff>
      <xdr:row>4</xdr:row>
      <xdr:rowOff>142875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1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2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76200</xdr:colOff>
      <xdr:row>0</xdr:row>
      <xdr:rowOff>0</xdr:rowOff>
    </xdr:from>
    <xdr:to>
      <xdr:col>33</xdr:col>
      <xdr:colOff>95250</xdr:colOff>
      <xdr:row>5</xdr:row>
      <xdr:rowOff>19050</xdr:rowOff>
    </xdr:to>
    <xdr:pic>
      <xdr:nvPicPr>
        <xdr:cNvPr id="3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819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25</xdr:row>
      <xdr:rowOff>66675</xdr:rowOff>
    </xdr:from>
    <xdr:to>
      <xdr:col>8</xdr:col>
      <xdr:colOff>104775</xdr:colOff>
      <xdr:row>25</xdr:row>
      <xdr:rowOff>180975</xdr:rowOff>
    </xdr:to>
    <xdr:sp>
      <xdr:nvSpPr>
        <xdr:cNvPr id="4" name="Rectangle 17"/>
        <xdr:cNvSpPr>
          <a:spLocks/>
        </xdr:cNvSpPr>
      </xdr:nvSpPr>
      <xdr:spPr>
        <a:xfrm>
          <a:off x="14097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66675</xdr:rowOff>
    </xdr:from>
    <xdr:to>
      <xdr:col>10</xdr:col>
      <xdr:colOff>95250</xdr:colOff>
      <xdr:row>25</xdr:row>
      <xdr:rowOff>180975</xdr:rowOff>
    </xdr:to>
    <xdr:sp>
      <xdr:nvSpPr>
        <xdr:cNvPr id="5" name="Rectangle 18"/>
        <xdr:cNvSpPr>
          <a:spLocks/>
        </xdr:cNvSpPr>
      </xdr:nvSpPr>
      <xdr:spPr>
        <a:xfrm>
          <a:off x="180022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114300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36</xdr:col>
      <xdr:colOff>257175</xdr:colOff>
      <xdr:row>3</xdr:row>
      <xdr:rowOff>114300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114300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36</xdr:col>
      <xdr:colOff>257175</xdr:colOff>
      <xdr:row>3</xdr:row>
      <xdr:rowOff>114300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ENTER-PC\Users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ans.mustermann@web.de" TargetMode="External" /><Relationship Id="rId2" Type="http://schemas.openxmlformats.org/officeDocument/2006/relationships/hyperlink" Target="mailto:hans.mustermann@web.de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5"/>
  <sheetViews>
    <sheetView zoomScalePageLayoutView="0" workbookViewId="0" topLeftCell="A1">
      <selection activeCell="AF1" sqref="AF1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678" t="s">
        <v>123</v>
      </c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80" t="s">
        <v>81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</row>
    <row r="4" spans="1:35" ht="19.5" customHeight="1">
      <c r="A4" s="681" t="s">
        <v>306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</row>
    <row r="5" spans="1:35" ht="18">
      <c r="A5" s="681" t="s">
        <v>252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</row>
    <row r="6" spans="1:35" ht="18">
      <c r="A6" s="681" t="s">
        <v>253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40</v>
      </c>
      <c r="B8" s="16" t="s">
        <v>82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41</v>
      </c>
      <c r="B9" s="16" t="s">
        <v>83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42</v>
      </c>
      <c r="B10" s="16" t="s">
        <v>84</v>
      </c>
      <c r="C10" s="16"/>
      <c r="D10" s="18" t="s">
        <v>93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103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85</v>
      </c>
      <c r="C11" s="16" t="s">
        <v>94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104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225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227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86</v>
      </c>
      <c r="C15" s="16" t="s">
        <v>95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251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87</v>
      </c>
      <c r="C17" s="16" t="s">
        <v>96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251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224</v>
      </c>
      <c r="C19" s="16" t="s">
        <v>226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234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228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207" t="s">
        <v>229</v>
      </c>
      <c r="AE21" s="208"/>
      <c r="AF21" s="16" t="s">
        <v>230</v>
      </c>
    </row>
    <row r="22" spans="1:32" s="17" customFormat="1" ht="15.75" customHeight="1">
      <c r="A22" s="16"/>
      <c r="B22" s="16"/>
      <c r="C22" s="16" t="s">
        <v>231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232</v>
      </c>
      <c r="R22" s="19"/>
      <c r="S22" s="16" t="s">
        <v>233</v>
      </c>
      <c r="T22" s="16"/>
      <c r="U22" s="16"/>
      <c r="V22" s="16"/>
      <c r="W22" s="16"/>
      <c r="X22" s="16"/>
      <c r="Y22" s="16"/>
      <c r="Z22" s="16"/>
      <c r="AA22" s="16"/>
      <c r="AB22" s="16"/>
      <c r="AD22" s="209"/>
      <c r="AE22" s="210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209"/>
      <c r="AE23" s="210"/>
      <c r="AF23" s="16"/>
    </row>
    <row r="24" spans="1:28" s="17" customFormat="1" ht="15.75">
      <c r="A24" s="16" t="s">
        <v>101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178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346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92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343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345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15" s="17" customFormat="1" ht="15.75">
      <c r="A33" s="16" t="s">
        <v>344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25" s="17" customFormat="1" ht="15.75">
      <c r="A34" s="16"/>
      <c r="B34" s="16"/>
      <c r="C34" s="16"/>
      <c r="D34" s="16"/>
      <c r="E34" s="16"/>
      <c r="F34" s="16"/>
      <c r="G34" s="16"/>
      <c r="H34" s="16"/>
      <c r="I34" s="16"/>
      <c r="J34" s="34" t="s">
        <v>144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5"/>
    </row>
    <row r="35" spans="2:37" s="17" customFormat="1" ht="15.75">
      <c r="B35"/>
      <c r="C35"/>
      <c r="D35"/>
      <c r="E35"/>
      <c r="F35"/>
      <c r="G35"/>
      <c r="H35"/>
      <c r="I35"/>
      <c r="J35" s="34" t="s">
        <v>145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AF35"/>
      <c r="AG35"/>
      <c r="AH35"/>
      <c r="AI35"/>
      <c r="AJ35"/>
      <c r="AK35"/>
    </row>
    <row r="36" spans="1:37" s="17" customFormat="1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AF36"/>
      <c r="AG36"/>
      <c r="AH36"/>
      <c r="AI36"/>
      <c r="AJ36"/>
      <c r="AK36"/>
    </row>
    <row r="37" spans="1:28" s="17" customFormat="1" ht="15.75">
      <c r="A37" s="16" t="s">
        <v>88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97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90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98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15.75">
      <c r="A41" s="16" t="s">
        <v>89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6" t="s">
        <v>99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19" t="s">
        <v>91</v>
      </c>
      <c r="B44" s="19"/>
      <c r="C44" s="19"/>
      <c r="D44" s="19"/>
      <c r="E44" s="19"/>
      <c r="F44" s="19"/>
      <c r="G44" s="22"/>
      <c r="H44" s="22"/>
      <c r="I44" s="16" t="s">
        <v>142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7" customFormat="1" ht="15.75">
      <c r="A45" s="21" t="s">
        <v>100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ht="9.75" customHeight="1"/>
    <row r="47" ht="15.75">
      <c r="A47" s="16" t="s">
        <v>146</v>
      </c>
    </row>
    <row r="48" ht="15.75">
      <c r="A48" s="16" t="s">
        <v>147</v>
      </c>
    </row>
    <row r="49" ht="15.75">
      <c r="A49" s="16" t="s">
        <v>254</v>
      </c>
    </row>
    <row r="50" ht="15.75">
      <c r="A50" s="16" t="s">
        <v>107</v>
      </c>
    </row>
    <row r="51" ht="9.75" customHeight="1">
      <c r="A51" s="16"/>
    </row>
    <row r="52" ht="9.75" customHeight="1"/>
    <row r="53" spans="21:35" ht="12.75">
      <c r="U53" s="17"/>
      <c r="V53" s="17"/>
      <c r="W53" s="17"/>
      <c r="X53" s="17"/>
      <c r="Y53" s="17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</row>
    <row r="54" spans="21:35" ht="12.75">
      <c r="U54" s="17"/>
      <c r="V54" s="17"/>
      <c r="W54" s="17"/>
      <c r="X54" s="17"/>
      <c r="Y54" s="17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</row>
    <row r="55" ht="12.75">
      <c r="Z55" s="139"/>
    </row>
  </sheetData>
  <sheetProtection sheet="1" objects="1" scenarios="1" selectLockedCells="1"/>
  <mergeCells count="7">
    <mergeCell ref="F1:AD1"/>
    <mergeCell ref="Z53:AI53"/>
    <mergeCell ref="Z54:AI54"/>
    <mergeCell ref="A3:AI3"/>
    <mergeCell ref="A4:AI4"/>
    <mergeCell ref="A5:AI5"/>
    <mergeCell ref="A6:AI6"/>
  </mergeCell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3" width="6.7109375" style="162" customWidth="1"/>
    <col min="4" max="6" width="11.421875" style="162" customWidth="1"/>
    <col min="7" max="7" width="0" style="162" hidden="1" customWidth="1"/>
    <col min="8" max="8" width="18.57421875" style="162" customWidth="1"/>
    <col min="9" max="9" width="13.00390625" style="162" bestFit="1" customWidth="1"/>
    <col min="10" max="10" width="2.28125" style="162" customWidth="1"/>
    <col min="11" max="11" width="13.00390625" style="162" bestFit="1" customWidth="1"/>
    <col min="12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29"/>
      <c r="E10" s="1029"/>
      <c r="F10" s="1029"/>
      <c r="G10" s="1029"/>
      <c r="H10" s="1029"/>
      <c r="I10" s="170"/>
      <c r="J10" s="1027"/>
      <c r="K10" s="1027"/>
      <c r="L10" s="1027"/>
      <c r="M10" s="1027"/>
      <c r="N10" s="1027"/>
      <c r="O10" s="1027"/>
    </row>
    <row r="11" s="184" customFormat="1" ht="6" customHeight="1"/>
    <row r="12" spans="6:14" s="184" customFormat="1" ht="18">
      <c r="F12" s="170" t="s">
        <v>149</v>
      </c>
      <c r="G12" s="168" t="str">
        <f>Mannschaften!K3</f>
        <v>m U18</v>
      </c>
      <c r="H12" s="170"/>
      <c r="I12" s="170" t="s">
        <v>359</v>
      </c>
      <c r="L12" s="172">
        <f>IF(Mannschaften!U3="","",Mannschaften!U3)</f>
      </c>
      <c r="M12" s="173">
        <f>IF(Mannschaften!X3="","",Mannschaften!X3)</f>
      </c>
      <c r="N12" s="170"/>
    </row>
    <row r="13" s="184" customFormat="1" ht="13.5" thickBot="1"/>
    <row r="14" spans="1:19" s="184" customFormat="1" ht="24.75" customHeight="1" thickBot="1">
      <c r="A14" s="497"/>
      <c r="B14" s="494" t="s">
        <v>105</v>
      </c>
      <c r="C14" s="494" t="s">
        <v>18</v>
      </c>
      <c r="D14" s="1019" t="s">
        <v>20</v>
      </c>
      <c r="E14" s="1020"/>
      <c r="F14" s="1021"/>
      <c r="G14" s="1022" t="s">
        <v>126</v>
      </c>
      <c r="H14" s="1022"/>
      <c r="I14" s="1022" t="s">
        <v>148</v>
      </c>
      <c r="J14" s="1022"/>
      <c r="K14" s="1022"/>
      <c r="L14" s="498" t="s">
        <v>127</v>
      </c>
      <c r="M14" s="498"/>
      <c r="N14" s="1022" t="s">
        <v>356</v>
      </c>
      <c r="O14" s="1022"/>
      <c r="S14" s="608"/>
    </row>
    <row r="15" spans="1:19" s="184" customFormat="1" ht="24.75" customHeight="1">
      <c r="A15" s="174">
        <v>1</v>
      </c>
      <c r="B15" s="670"/>
      <c r="C15" s="671"/>
      <c r="D15" s="985"/>
      <c r="E15" s="986"/>
      <c r="F15" s="987"/>
      <c r="G15" s="988"/>
      <c r="H15" s="1013"/>
      <c r="I15" s="1014"/>
      <c r="J15" s="1015"/>
      <c r="K15" s="1016"/>
      <c r="L15" s="1017"/>
      <c r="M15" s="1018"/>
      <c r="N15" s="1023"/>
      <c r="O15" s="1024"/>
      <c r="S15" s="608"/>
    </row>
    <row r="16" spans="1:15" s="184" customFormat="1" ht="24.75" customHeight="1">
      <c r="A16" s="175">
        <v>2</v>
      </c>
      <c r="B16" s="670"/>
      <c r="C16" s="670"/>
      <c r="D16" s="973"/>
      <c r="E16" s="974"/>
      <c r="F16" s="975"/>
      <c r="G16" s="1010"/>
      <c r="H16" s="1011"/>
      <c r="I16" s="1005"/>
      <c r="J16" s="1006"/>
      <c r="K16" s="1007"/>
      <c r="L16" s="1008"/>
      <c r="M16" s="1009"/>
      <c r="N16" s="995"/>
      <c r="O16" s="996"/>
    </row>
    <row r="17" spans="1:15" s="184" customFormat="1" ht="24.75" customHeight="1">
      <c r="A17" s="175">
        <v>3</v>
      </c>
      <c r="B17" s="670"/>
      <c r="C17" s="670"/>
      <c r="D17" s="973"/>
      <c r="E17" s="974"/>
      <c r="F17" s="975"/>
      <c r="G17" s="1010"/>
      <c r="H17" s="1011"/>
      <c r="I17" s="1005"/>
      <c r="J17" s="1006"/>
      <c r="K17" s="1007"/>
      <c r="L17" s="1008"/>
      <c r="M17" s="1009"/>
      <c r="N17" s="995"/>
      <c r="O17" s="996"/>
    </row>
    <row r="18" spans="1:15" s="184" customFormat="1" ht="24.75" customHeight="1">
      <c r="A18" s="175">
        <v>4</v>
      </c>
      <c r="B18" s="670"/>
      <c r="C18" s="670"/>
      <c r="D18" s="973"/>
      <c r="E18" s="974"/>
      <c r="F18" s="975"/>
      <c r="G18" s="1010"/>
      <c r="H18" s="1011"/>
      <c r="I18" s="1005"/>
      <c r="J18" s="1006"/>
      <c r="K18" s="1007"/>
      <c r="L18" s="1008"/>
      <c r="M18" s="1009"/>
      <c r="N18" s="995"/>
      <c r="O18" s="996"/>
    </row>
    <row r="19" spans="1:15" s="184" customFormat="1" ht="24.75" customHeight="1">
      <c r="A19" s="175">
        <v>5</v>
      </c>
      <c r="B19" s="670"/>
      <c r="C19" s="670"/>
      <c r="D19" s="973"/>
      <c r="E19" s="974"/>
      <c r="F19" s="975"/>
      <c r="G19" s="1010"/>
      <c r="H19" s="1011"/>
      <c r="I19" s="1005"/>
      <c r="J19" s="1006"/>
      <c r="K19" s="1007"/>
      <c r="L19" s="1008"/>
      <c r="M19" s="1009"/>
      <c r="N19" s="995"/>
      <c r="O19" s="996"/>
    </row>
    <row r="20" spans="1:15" s="184" customFormat="1" ht="24.75" customHeight="1">
      <c r="A20" s="175">
        <v>6</v>
      </c>
      <c r="B20" s="670"/>
      <c r="C20" s="670"/>
      <c r="D20" s="973"/>
      <c r="E20" s="974"/>
      <c r="F20" s="975"/>
      <c r="G20" s="1010"/>
      <c r="H20" s="1011"/>
      <c r="I20" s="1005"/>
      <c r="J20" s="1006"/>
      <c r="K20" s="1007"/>
      <c r="L20" s="1008"/>
      <c r="M20" s="1009"/>
      <c r="N20" s="995"/>
      <c r="O20" s="996"/>
    </row>
    <row r="21" spans="1:15" s="184" customFormat="1" ht="24.75" customHeight="1">
      <c r="A21" s="175">
        <v>7</v>
      </c>
      <c r="B21" s="670"/>
      <c r="C21" s="670"/>
      <c r="D21" s="973"/>
      <c r="E21" s="974"/>
      <c r="F21" s="975"/>
      <c r="G21" s="1010"/>
      <c r="H21" s="1011"/>
      <c r="I21" s="1005"/>
      <c r="J21" s="1006"/>
      <c r="K21" s="1007"/>
      <c r="L21" s="1008"/>
      <c r="M21" s="1009"/>
      <c r="N21" s="995"/>
      <c r="O21" s="996"/>
    </row>
    <row r="22" spans="1:15" s="184" customFormat="1" ht="24.75" customHeight="1">
      <c r="A22" s="175">
        <v>8</v>
      </c>
      <c r="B22" s="670"/>
      <c r="C22" s="670"/>
      <c r="D22" s="973"/>
      <c r="E22" s="974"/>
      <c r="F22" s="975"/>
      <c r="G22" s="1010"/>
      <c r="H22" s="1011"/>
      <c r="I22" s="1005"/>
      <c r="J22" s="1006"/>
      <c r="K22" s="1007"/>
      <c r="L22" s="1008"/>
      <c r="M22" s="1009"/>
      <c r="N22" s="995"/>
      <c r="O22" s="996"/>
    </row>
    <row r="23" spans="1:15" s="184" customFormat="1" ht="24.75" customHeight="1">
      <c r="A23" s="175">
        <v>9</v>
      </c>
      <c r="B23" s="670"/>
      <c r="C23" s="670"/>
      <c r="D23" s="973"/>
      <c r="E23" s="974"/>
      <c r="F23" s="975"/>
      <c r="G23" s="1010"/>
      <c r="H23" s="1012"/>
      <c r="I23" s="1005"/>
      <c r="J23" s="1006"/>
      <c r="K23" s="1007"/>
      <c r="L23" s="1008"/>
      <c r="M23" s="1009"/>
      <c r="N23" s="995"/>
      <c r="O23" s="996"/>
    </row>
    <row r="24" spans="1:15" s="184" customFormat="1" ht="24.75" customHeight="1" thickBot="1">
      <c r="A24" s="176">
        <v>10</v>
      </c>
      <c r="B24" s="672"/>
      <c r="C24" s="672"/>
      <c r="D24" s="997"/>
      <c r="E24" s="998"/>
      <c r="F24" s="999"/>
      <c r="G24" s="976"/>
      <c r="H24" s="977"/>
      <c r="I24" s="1000"/>
      <c r="J24" s="1001"/>
      <c r="K24" s="1002"/>
      <c r="L24" s="1003"/>
      <c r="M24" s="1004"/>
      <c r="N24" s="983"/>
      <c r="O24" s="984"/>
    </row>
    <row r="25" spans="1:15" s="184" customFormat="1" ht="24.75" customHeight="1">
      <c r="A25" s="496" t="s">
        <v>38</v>
      </c>
      <c r="B25" s="673"/>
      <c r="C25" s="673"/>
      <c r="D25" s="985"/>
      <c r="E25" s="986"/>
      <c r="F25" s="987"/>
      <c r="G25" s="988"/>
      <c r="H25" s="989"/>
      <c r="I25" s="990"/>
      <c r="J25" s="991"/>
      <c r="K25" s="992"/>
      <c r="L25" s="993"/>
      <c r="M25" s="994"/>
      <c r="N25" s="971"/>
      <c r="O25" s="972"/>
    </row>
    <row r="26" spans="1:15" s="184" customFormat="1" ht="24.75" customHeight="1" thickBot="1">
      <c r="A26" s="178" t="s">
        <v>39</v>
      </c>
      <c r="B26" s="672"/>
      <c r="C26" s="672"/>
      <c r="D26" s="973"/>
      <c r="E26" s="974"/>
      <c r="F26" s="975"/>
      <c r="G26" s="976"/>
      <c r="H26" s="977"/>
      <c r="I26" s="978"/>
      <c r="J26" s="979"/>
      <c r="K26" s="980"/>
      <c r="L26" s="981"/>
      <c r="M26" s="982"/>
      <c r="N26" s="983"/>
      <c r="O26" s="984"/>
    </row>
    <row r="27" spans="1:15" s="184" customFormat="1" ht="24.75" customHeight="1" thickBot="1">
      <c r="A27" s="386"/>
      <c r="B27" s="674"/>
      <c r="C27" s="674"/>
      <c r="D27" s="674"/>
      <c r="E27" s="674"/>
      <c r="F27" s="675"/>
      <c r="G27" s="676">
        <f>G65</f>
      </c>
      <c r="H27" s="677"/>
      <c r="I27" s="674"/>
      <c r="J27" s="674"/>
      <c r="K27" s="674"/>
      <c r="L27" s="674"/>
      <c r="M27" s="674"/>
      <c r="N27" s="674"/>
      <c r="O27" s="675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2:15" ht="12.75" hidden="1">
      <c r="B29" s="166">
        <f>D29</f>
      </c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2:15" ht="12.75" hidden="1">
      <c r="B30" s="166">
        <f aca="true" t="shared" si="2" ref="B30:B38">D30</f>
      </c>
      <c r="D30" s="167">
        <f aca="true" t="shared" si="3" ref="D30:D38">IF(G16="","",G16)</f>
      </c>
      <c r="E30" s="167">
        <f aca="true" t="shared" si="4" ref="E30:E38">IF(D30="","",D30+1)</f>
      </c>
      <c r="F30" s="166">
        <f aca="true" t="shared" si="5" ref="F30:F38">IF(D30="","",DAY(D30))</f>
      </c>
      <c r="G30" s="166">
        <f aca="true" t="shared" si="6" ref="G30:G38">IF(D30="","",MONTH(D30))</f>
      </c>
      <c r="H30" s="162">
        <f aca="true" t="shared" si="7" ref="H30:H38">IF(D30="","",YEAR(D30))</f>
      </c>
      <c r="K30" s="162">
        <f aca="true" t="shared" si="8" ref="K30:K35">IF(D30="","",$K$28-F30)</f>
      </c>
      <c r="L30" s="162">
        <f t="shared" si="0"/>
      </c>
      <c r="M30" s="162">
        <f t="shared" si="1"/>
      </c>
      <c r="N30" s="162" t="e">
        <f aca="true" t="shared" si="9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2:15" ht="12.75" hidden="1">
      <c r="B31" s="166">
        <f t="shared" si="2"/>
      </c>
      <c r="D31" s="167">
        <f t="shared" si="3"/>
      </c>
      <c r="E31" s="167">
        <f t="shared" si="4"/>
      </c>
      <c r="F31" s="166">
        <f t="shared" si="5"/>
      </c>
      <c r="G31" s="166">
        <f t="shared" si="6"/>
      </c>
      <c r="H31" s="162">
        <f t="shared" si="7"/>
      </c>
      <c r="K31" s="162">
        <f t="shared" si="8"/>
      </c>
      <c r="L31" s="162">
        <f t="shared" si="0"/>
      </c>
      <c r="M31" s="162">
        <f t="shared" si="1"/>
      </c>
      <c r="N31" s="162" t="e">
        <f t="shared" si="9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2:15" ht="12.75" hidden="1">
      <c r="B32" s="166">
        <f t="shared" si="2"/>
      </c>
      <c r="D32" s="167">
        <f t="shared" si="3"/>
      </c>
      <c r="E32" s="167">
        <f t="shared" si="4"/>
      </c>
      <c r="F32" s="166">
        <f t="shared" si="5"/>
      </c>
      <c r="G32" s="166">
        <f t="shared" si="6"/>
      </c>
      <c r="H32" s="162">
        <f t="shared" si="7"/>
      </c>
      <c r="K32" s="162">
        <f t="shared" si="8"/>
      </c>
      <c r="L32" s="162">
        <f t="shared" si="0"/>
      </c>
      <c r="M32" s="162">
        <f t="shared" si="1"/>
      </c>
      <c r="N32" s="162" t="e">
        <f t="shared" si="9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2:15" ht="12.75" hidden="1">
      <c r="B33" s="166">
        <f t="shared" si="2"/>
      </c>
      <c r="D33" s="167">
        <f t="shared" si="3"/>
      </c>
      <c r="E33" s="167">
        <f t="shared" si="4"/>
      </c>
      <c r="F33" s="166">
        <f t="shared" si="5"/>
      </c>
      <c r="G33" s="166">
        <f t="shared" si="6"/>
      </c>
      <c r="H33" s="162">
        <f t="shared" si="7"/>
      </c>
      <c r="K33" s="162">
        <f t="shared" si="8"/>
      </c>
      <c r="L33" s="162">
        <f t="shared" si="0"/>
      </c>
      <c r="M33" s="162">
        <f t="shared" si="1"/>
      </c>
      <c r="N33" s="162" t="e">
        <f t="shared" si="9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2:15" ht="12.75" hidden="1">
      <c r="B34" s="166">
        <f t="shared" si="2"/>
      </c>
      <c r="D34" s="167">
        <f>IF(G20="","",G20)</f>
      </c>
      <c r="E34" s="167">
        <f t="shared" si="4"/>
      </c>
      <c r="F34" s="166">
        <f t="shared" si="5"/>
      </c>
      <c r="G34" s="166">
        <f t="shared" si="6"/>
      </c>
      <c r="H34" s="162">
        <f t="shared" si="7"/>
      </c>
      <c r="K34" s="162">
        <f t="shared" si="8"/>
      </c>
      <c r="L34" s="162">
        <f t="shared" si="0"/>
      </c>
      <c r="M34" s="162">
        <f t="shared" si="1"/>
      </c>
      <c r="N34" s="162" t="e">
        <f t="shared" si="9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2:15" ht="12.75" hidden="1">
      <c r="B35" s="166">
        <f t="shared" si="2"/>
      </c>
      <c r="D35" s="167">
        <f>IF(G21="","",G21)</f>
      </c>
      <c r="E35" s="167">
        <f t="shared" si="4"/>
      </c>
      <c r="F35" s="166">
        <f t="shared" si="5"/>
      </c>
      <c r="G35" s="166">
        <f t="shared" si="6"/>
      </c>
      <c r="H35" s="162">
        <f t="shared" si="7"/>
      </c>
      <c r="K35" s="162">
        <f t="shared" si="8"/>
      </c>
      <c r="L35" s="162">
        <f t="shared" si="0"/>
      </c>
      <c r="M35" s="162">
        <f t="shared" si="1"/>
      </c>
      <c r="N35" s="162" t="e">
        <f t="shared" si="9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2:15" ht="12.75" hidden="1">
      <c r="B36" s="166">
        <f t="shared" si="2"/>
      </c>
      <c r="D36" s="167">
        <f t="shared" si="3"/>
      </c>
      <c r="E36" s="167">
        <f t="shared" si="4"/>
      </c>
      <c r="F36" s="166">
        <f t="shared" si="5"/>
      </c>
      <c r="G36" s="166">
        <f t="shared" si="6"/>
      </c>
      <c r="H36" s="162">
        <f t="shared" si="7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2:15" ht="12.75" hidden="1">
      <c r="B37" s="166">
        <f t="shared" si="2"/>
      </c>
      <c r="D37" s="167">
        <f t="shared" si="3"/>
      </c>
      <c r="E37" s="167">
        <f t="shared" si="4"/>
      </c>
      <c r="F37" s="166">
        <f t="shared" si="5"/>
      </c>
      <c r="G37" s="166">
        <f t="shared" si="6"/>
      </c>
      <c r="H37" s="162">
        <f t="shared" si="7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2:15" ht="12.75" hidden="1">
      <c r="B38" s="166">
        <f t="shared" si="2"/>
      </c>
      <c r="D38" s="167">
        <f t="shared" si="3"/>
      </c>
      <c r="E38" s="167">
        <f t="shared" si="4"/>
      </c>
      <c r="F38" s="166">
        <f t="shared" si="5"/>
      </c>
      <c r="G38" s="166">
        <f t="shared" si="6"/>
      </c>
      <c r="H38" s="162">
        <f t="shared" si="7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10" ref="D41:D50">IF($D$40=F29,1,0)</f>
        <v>0</v>
      </c>
      <c r="E41" s="166">
        <f aca="true" t="shared" si="11" ref="E41:E50">IF($E$40=G29,1,0)</f>
        <v>0</v>
      </c>
      <c r="F41" s="166"/>
      <c r="G41" s="166">
        <f>D41+E41</f>
        <v>0</v>
      </c>
      <c r="H41" s="166">
        <f aca="true" t="shared" si="12" ref="H41:H50">IF($H$40=F29,1,0)</f>
        <v>0</v>
      </c>
      <c r="I41" s="166">
        <f aca="true" t="shared" si="13" ref="I41:I50">IF($I$40=G29,1,0)</f>
        <v>0</v>
      </c>
      <c r="K41" s="166">
        <f>H41+I41</f>
        <v>0</v>
      </c>
    </row>
    <row r="42" spans="4:11" ht="12.75" hidden="1">
      <c r="D42" s="166">
        <f t="shared" si="10"/>
        <v>0</v>
      </c>
      <c r="E42" s="166">
        <f t="shared" si="11"/>
        <v>0</v>
      </c>
      <c r="F42" s="166"/>
      <c r="G42" s="166">
        <f aca="true" t="shared" si="14" ref="G42:G50">D42+E42</f>
        <v>0</v>
      </c>
      <c r="H42" s="166">
        <f t="shared" si="12"/>
        <v>0</v>
      </c>
      <c r="I42" s="166">
        <f t="shared" si="13"/>
        <v>0</v>
      </c>
      <c r="K42" s="166">
        <f aca="true" t="shared" si="15" ref="K42:K50">H42+I42</f>
        <v>0</v>
      </c>
    </row>
    <row r="43" spans="4:11" ht="12.75" hidden="1">
      <c r="D43" s="166">
        <f t="shared" si="10"/>
        <v>0</v>
      </c>
      <c r="E43" s="166">
        <f t="shared" si="11"/>
        <v>0</v>
      </c>
      <c r="F43" s="166"/>
      <c r="G43" s="166">
        <f t="shared" si="14"/>
        <v>0</v>
      </c>
      <c r="H43" s="166">
        <f t="shared" si="12"/>
        <v>0</v>
      </c>
      <c r="I43" s="166">
        <f t="shared" si="13"/>
        <v>0</v>
      </c>
      <c r="K43" s="166">
        <f t="shared" si="15"/>
        <v>0</v>
      </c>
    </row>
    <row r="44" spans="4:11" ht="12.75" hidden="1">
      <c r="D44" s="166">
        <f t="shared" si="10"/>
        <v>0</v>
      </c>
      <c r="E44" s="166">
        <f t="shared" si="11"/>
        <v>0</v>
      </c>
      <c r="F44" s="166"/>
      <c r="G44" s="166">
        <f t="shared" si="14"/>
        <v>0</v>
      </c>
      <c r="H44" s="166">
        <f t="shared" si="12"/>
        <v>0</v>
      </c>
      <c r="I44" s="166">
        <f t="shared" si="13"/>
        <v>0</v>
      </c>
      <c r="K44" s="166">
        <f t="shared" si="15"/>
        <v>0</v>
      </c>
    </row>
    <row r="45" spans="4:11" ht="12.75" hidden="1">
      <c r="D45" s="166">
        <f t="shared" si="10"/>
        <v>0</v>
      </c>
      <c r="E45" s="166">
        <f t="shared" si="11"/>
        <v>0</v>
      </c>
      <c r="F45" s="166"/>
      <c r="G45" s="166">
        <f t="shared" si="14"/>
        <v>0</v>
      </c>
      <c r="H45" s="166">
        <f t="shared" si="12"/>
        <v>0</v>
      </c>
      <c r="I45" s="166">
        <f t="shared" si="13"/>
        <v>0</v>
      </c>
      <c r="K45" s="166">
        <f t="shared" si="15"/>
        <v>0</v>
      </c>
    </row>
    <row r="46" spans="4:11" ht="12.75" hidden="1">
      <c r="D46" s="166">
        <f t="shared" si="10"/>
        <v>0</v>
      </c>
      <c r="E46" s="166">
        <f t="shared" si="11"/>
        <v>0</v>
      </c>
      <c r="F46" s="166"/>
      <c r="G46" s="166">
        <f t="shared" si="14"/>
        <v>0</v>
      </c>
      <c r="H46" s="166">
        <f t="shared" si="12"/>
        <v>0</v>
      </c>
      <c r="I46" s="166">
        <f t="shared" si="13"/>
        <v>0</v>
      </c>
      <c r="K46" s="166">
        <f t="shared" si="15"/>
        <v>0</v>
      </c>
    </row>
    <row r="47" spans="4:11" ht="12.75" hidden="1">
      <c r="D47" s="166">
        <f t="shared" si="10"/>
        <v>0</v>
      </c>
      <c r="E47" s="166">
        <f t="shared" si="11"/>
        <v>0</v>
      </c>
      <c r="F47" s="166"/>
      <c r="G47" s="166">
        <f t="shared" si="14"/>
        <v>0</v>
      </c>
      <c r="H47" s="166">
        <f t="shared" si="12"/>
        <v>0</v>
      </c>
      <c r="I47" s="166">
        <f t="shared" si="13"/>
        <v>0</v>
      </c>
      <c r="K47" s="166">
        <f t="shared" si="15"/>
        <v>0</v>
      </c>
    </row>
    <row r="48" spans="4:11" ht="12.75" hidden="1">
      <c r="D48" s="166">
        <f t="shared" si="10"/>
        <v>0</v>
      </c>
      <c r="E48" s="166">
        <f t="shared" si="11"/>
        <v>0</v>
      </c>
      <c r="F48" s="166"/>
      <c r="G48" s="166">
        <f t="shared" si="14"/>
        <v>0</v>
      </c>
      <c r="H48" s="166">
        <f t="shared" si="12"/>
        <v>0</v>
      </c>
      <c r="I48" s="166">
        <f t="shared" si="13"/>
        <v>0</v>
      </c>
      <c r="K48" s="166">
        <f t="shared" si="15"/>
        <v>0</v>
      </c>
    </row>
    <row r="49" spans="4:11" ht="12.75" hidden="1">
      <c r="D49" s="166">
        <f t="shared" si="10"/>
        <v>0</v>
      </c>
      <c r="E49" s="166">
        <f t="shared" si="11"/>
        <v>0</v>
      </c>
      <c r="F49" s="166"/>
      <c r="G49" s="166">
        <f t="shared" si="14"/>
        <v>0</v>
      </c>
      <c r="H49" s="166">
        <f t="shared" si="12"/>
        <v>0</v>
      </c>
      <c r="I49" s="166">
        <f t="shared" si="13"/>
        <v>0</v>
      </c>
      <c r="K49" s="166">
        <f t="shared" si="15"/>
        <v>0</v>
      </c>
    </row>
    <row r="50" spans="4:11" ht="12.75" hidden="1">
      <c r="D50" s="166">
        <f t="shared" si="10"/>
        <v>0</v>
      </c>
      <c r="E50" s="166">
        <f t="shared" si="11"/>
        <v>0</v>
      </c>
      <c r="F50" s="166"/>
      <c r="G50" s="166">
        <f t="shared" si="14"/>
        <v>0</v>
      </c>
      <c r="H50" s="166">
        <f t="shared" si="12"/>
        <v>0</v>
      </c>
      <c r="I50" s="166">
        <f t="shared" si="13"/>
        <v>0</v>
      </c>
      <c r="K50" s="166">
        <f t="shared" si="15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6" ref="G55:G63">IF(G16="","",I$4-G16)</f>
      </c>
      <c r="H55" s="162">
        <f aca="true" t="shared" si="17" ref="H55:H63">IF(G55="",0,1)</f>
        <v>0</v>
      </c>
    </row>
    <row r="56" spans="7:8" ht="12.75" hidden="1">
      <c r="G56" s="166">
        <f t="shared" si="16"/>
      </c>
      <c r="H56" s="162">
        <f t="shared" si="17"/>
        <v>0</v>
      </c>
    </row>
    <row r="57" spans="7:8" ht="12.75" hidden="1">
      <c r="G57" s="166">
        <f t="shared" si="16"/>
      </c>
      <c r="H57" s="162">
        <f t="shared" si="17"/>
        <v>0</v>
      </c>
    </row>
    <row r="58" spans="7:8" ht="12.75" hidden="1">
      <c r="G58" s="166">
        <f t="shared" si="16"/>
      </c>
      <c r="H58" s="162">
        <f t="shared" si="17"/>
        <v>0</v>
      </c>
    </row>
    <row r="59" spans="7:8" ht="12.75" hidden="1">
      <c r="G59" s="166">
        <f t="shared" si="16"/>
      </c>
      <c r="H59" s="162">
        <f t="shared" si="17"/>
        <v>0</v>
      </c>
    </row>
    <row r="60" spans="7:8" ht="12.75" hidden="1">
      <c r="G60" s="166">
        <f t="shared" si="16"/>
      </c>
      <c r="H60" s="162">
        <f t="shared" si="17"/>
        <v>0</v>
      </c>
    </row>
    <row r="61" spans="7:8" ht="12.75" hidden="1">
      <c r="G61" s="166">
        <f t="shared" si="16"/>
      </c>
      <c r="H61" s="162">
        <f t="shared" si="17"/>
        <v>0</v>
      </c>
    </row>
    <row r="62" spans="7:8" ht="12.75" hidden="1">
      <c r="G62" s="166">
        <f t="shared" si="16"/>
      </c>
      <c r="H62" s="162">
        <f t="shared" si="17"/>
        <v>0</v>
      </c>
    </row>
    <row r="63" spans="7:8" ht="12.75" hidden="1">
      <c r="G63" s="166">
        <f t="shared" si="16"/>
      </c>
      <c r="H63" s="162">
        <f t="shared" si="17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25:F26">
    <cfRule type="expression" priority="34" dxfId="2" stopIfTrue="1">
      <formula>$O39&lt;0</formula>
    </cfRule>
    <cfRule type="expression" priority="35" dxfId="0" stopIfTrue="1">
      <formula>$K51=2</formula>
    </cfRule>
    <cfRule type="expression" priority="36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79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79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79" customFormat="1" ht="13.5" customHeight="1"/>
    <row r="4" spans="4:26" s="179" customFormat="1" ht="23.25" customHeight="1">
      <c r="D4" s="180"/>
      <c r="E4" s="1027" t="str">
        <f>IF(Mannschaften!I4="","",Mannschaften!I4)</f>
        <v>Hallerstein</v>
      </c>
      <c r="F4" s="1027"/>
      <c r="G4" s="1027"/>
      <c r="H4" s="1027"/>
      <c r="I4" s="188">
        <f>Mannschaften!P4</f>
        <v>43715</v>
      </c>
      <c r="J4" s="181" t="s">
        <v>108</v>
      </c>
      <c r="K4" s="188">
        <f>Mannschaften!T4</f>
        <v>43716</v>
      </c>
      <c r="M4" s="180"/>
      <c r="W4" s="180"/>
      <c r="X4" s="180"/>
      <c r="Y4" s="180"/>
      <c r="Z4" s="180"/>
    </row>
    <row r="5" spans="4:26" s="179" customFormat="1" ht="16.5" customHeight="1">
      <c r="D5" s="180"/>
      <c r="E5" s="173"/>
      <c r="F5" s="173"/>
      <c r="G5" s="173"/>
      <c r="H5" s="173"/>
      <c r="I5" s="182"/>
      <c r="J5" s="181"/>
      <c r="K5" s="182"/>
      <c r="M5" s="180"/>
      <c r="W5" s="180"/>
      <c r="X5" s="180"/>
      <c r="Y5" s="180"/>
      <c r="Z5" s="180"/>
    </row>
    <row r="6" spans="6:9" s="179" customFormat="1" ht="23.25" customHeight="1">
      <c r="F6" s="173"/>
      <c r="G6" s="173" t="str">
        <f>Mannschaften!A5</f>
        <v>Ausrichter:     </v>
      </c>
      <c r="H6" s="173"/>
      <c r="I6" s="173" t="str">
        <f>IF(Mannschaften!N5="","",Mannschaften!N5)</f>
        <v>TSV Hallerstein</v>
      </c>
    </row>
    <row r="7" spans="6:9" s="179" customFormat="1" ht="12.75" customHeight="1">
      <c r="F7" s="173"/>
      <c r="G7" s="173"/>
      <c r="H7" s="173"/>
      <c r="I7" s="173"/>
    </row>
    <row r="8" spans="1:15" s="179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79" customFormat="1" ht="6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s="179" customFormat="1" ht="26.25">
      <c r="A10" s="173" t="s">
        <v>13</v>
      </c>
      <c r="B10" s="173"/>
      <c r="C10" s="173"/>
      <c r="D10" s="1081" t="str">
        <f>Mannschaften!I11</f>
        <v>NlV Stuttgart</v>
      </c>
      <c r="E10" s="1081"/>
      <c r="F10" s="1081"/>
      <c r="G10" s="1081"/>
      <c r="H10" s="1081"/>
      <c r="I10" s="173"/>
      <c r="J10" s="1094"/>
      <c r="K10" s="1094"/>
      <c r="L10" s="1094"/>
      <c r="M10" s="1094"/>
      <c r="N10" s="1094"/>
      <c r="O10" s="1094"/>
    </row>
    <row r="11" s="179" customFormat="1" ht="6" customHeight="1"/>
    <row r="12" spans="6:14" s="179" customFormat="1" ht="18">
      <c r="F12" s="173" t="s">
        <v>149</v>
      </c>
      <c r="G12" s="168" t="str">
        <f>Mannschaften!K3</f>
        <v>m U18</v>
      </c>
      <c r="H12" s="173"/>
      <c r="I12" s="173" t="s">
        <v>129</v>
      </c>
      <c r="L12" s="172">
        <f>IF(Mannschaften!U3="","",Mannschaften!U3)</f>
      </c>
      <c r="M12" s="173">
        <f>IF(Mannschaften!X3="","",Mannschaften!X3)</f>
      </c>
      <c r="N12" s="173"/>
    </row>
    <row r="13" s="179" customFormat="1" ht="13.5" thickBot="1"/>
    <row r="14" spans="1:15" s="179" customFormat="1" ht="24.75" customHeight="1" thickBot="1">
      <c r="A14" s="499"/>
      <c r="B14" s="494" t="s">
        <v>105</v>
      </c>
      <c r="C14" s="494" t="s">
        <v>18</v>
      </c>
      <c r="D14" s="1022" t="s">
        <v>20</v>
      </c>
      <c r="E14" s="1022"/>
      <c r="F14" s="1022"/>
      <c r="G14" s="1022" t="s">
        <v>126</v>
      </c>
      <c r="H14" s="1022"/>
      <c r="I14" s="1022" t="s">
        <v>148</v>
      </c>
      <c r="J14" s="1022"/>
      <c r="K14" s="1022"/>
      <c r="L14" s="1019" t="s">
        <v>127</v>
      </c>
      <c r="M14" s="1021"/>
      <c r="N14" s="1022" t="s">
        <v>128</v>
      </c>
      <c r="O14" s="1022"/>
    </row>
    <row r="15" spans="1:15" s="184" customFormat="1" ht="24.75" customHeight="1">
      <c r="A15" s="174">
        <v>1</v>
      </c>
      <c r="B15" s="163"/>
      <c r="C15" s="591"/>
      <c r="D15" s="1084"/>
      <c r="E15" s="1085"/>
      <c r="F15" s="1086"/>
      <c r="G15" s="1089"/>
      <c r="H15" s="1090"/>
      <c r="I15" s="1091"/>
      <c r="J15" s="1092"/>
      <c r="K15" s="1093"/>
      <c r="L15" s="1087"/>
      <c r="M15" s="1088"/>
      <c r="N15" s="1082"/>
      <c r="O15" s="1083"/>
    </row>
    <row r="16" spans="1:15" s="184" customFormat="1" ht="24.75" customHeight="1">
      <c r="A16" s="175">
        <v>2</v>
      </c>
      <c r="B16" s="164"/>
      <c r="C16" s="590"/>
      <c r="D16" s="1052"/>
      <c r="E16" s="1053"/>
      <c r="F16" s="1054"/>
      <c r="G16" s="1055"/>
      <c r="H16" s="1056"/>
      <c r="I16" s="1078"/>
      <c r="J16" s="1079"/>
      <c r="K16" s="1080"/>
      <c r="L16" s="1060"/>
      <c r="M16" s="1061"/>
      <c r="N16" s="1068"/>
      <c r="O16" s="1059"/>
    </row>
    <row r="17" spans="1:15" s="184" customFormat="1" ht="24.75" customHeight="1">
      <c r="A17" s="175">
        <v>3</v>
      </c>
      <c r="B17" s="164"/>
      <c r="C17" s="590"/>
      <c r="D17" s="1052"/>
      <c r="E17" s="1053"/>
      <c r="F17" s="1054"/>
      <c r="G17" s="1055"/>
      <c r="H17" s="1056"/>
      <c r="I17" s="1078"/>
      <c r="J17" s="1079"/>
      <c r="K17" s="1080"/>
      <c r="L17" s="1060"/>
      <c r="M17" s="1061"/>
      <c r="N17" s="1068"/>
      <c r="O17" s="1059"/>
    </row>
    <row r="18" spans="1:15" s="184" customFormat="1" ht="24.75" customHeight="1">
      <c r="A18" s="175">
        <v>4</v>
      </c>
      <c r="B18" s="164"/>
      <c r="C18" s="590"/>
      <c r="D18" s="1052"/>
      <c r="E18" s="1053"/>
      <c r="F18" s="1054"/>
      <c r="G18" s="1055"/>
      <c r="H18" s="1056"/>
      <c r="I18" s="1078"/>
      <c r="J18" s="1079"/>
      <c r="K18" s="1080"/>
      <c r="L18" s="1060"/>
      <c r="M18" s="1061"/>
      <c r="N18" s="1068"/>
      <c r="O18" s="1059"/>
    </row>
    <row r="19" spans="1:15" s="184" customFormat="1" ht="24.75" customHeight="1">
      <c r="A19" s="175">
        <v>5</v>
      </c>
      <c r="B19" s="164"/>
      <c r="C19" s="590"/>
      <c r="D19" s="1052"/>
      <c r="E19" s="1053"/>
      <c r="F19" s="1054"/>
      <c r="G19" s="1055"/>
      <c r="H19" s="1056"/>
      <c r="I19" s="1078"/>
      <c r="J19" s="1079"/>
      <c r="K19" s="1080"/>
      <c r="L19" s="1060"/>
      <c r="M19" s="1061"/>
      <c r="N19" s="1068"/>
      <c r="O19" s="1059"/>
    </row>
    <row r="20" spans="1:15" s="184" customFormat="1" ht="24.75" customHeight="1">
      <c r="A20" s="175">
        <v>6</v>
      </c>
      <c r="B20" s="437"/>
      <c r="C20" s="590"/>
      <c r="D20" s="1052"/>
      <c r="E20" s="1053"/>
      <c r="F20" s="1054"/>
      <c r="G20" s="1055"/>
      <c r="H20" s="1056"/>
      <c r="I20" s="1078"/>
      <c r="J20" s="1079"/>
      <c r="K20" s="1080"/>
      <c r="L20" s="1060"/>
      <c r="M20" s="1061"/>
      <c r="N20" s="1068"/>
      <c r="O20" s="1059"/>
    </row>
    <row r="21" spans="1:15" s="184" customFormat="1" ht="24.75" customHeight="1">
      <c r="A21" s="175">
        <v>7</v>
      </c>
      <c r="B21" s="164"/>
      <c r="C21" s="590"/>
      <c r="D21" s="1052"/>
      <c r="E21" s="1053"/>
      <c r="F21" s="1054"/>
      <c r="G21" s="1055"/>
      <c r="H21" s="1056"/>
      <c r="I21" s="1078"/>
      <c r="J21" s="1079"/>
      <c r="K21" s="1080"/>
      <c r="L21" s="1060"/>
      <c r="M21" s="1061"/>
      <c r="N21" s="1068"/>
      <c r="O21" s="1059"/>
    </row>
    <row r="22" spans="1:15" s="184" customFormat="1" ht="24.75" customHeight="1">
      <c r="A22" s="175">
        <v>8</v>
      </c>
      <c r="B22" s="164"/>
      <c r="C22" s="164"/>
      <c r="D22" s="1052"/>
      <c r="E22" s="1053"/>
      <c r="F22" s="1054"/>
      <c r="G22" s="1064"/>
      <c r="H22" s="1065"/>
      <c r="I22" s="1057"/>
      <c r="J22" s="1058"/>
      <c r="K22" s="1059"/>
      <c r="L22" s="1062"/>
      <c r="M22" s="1063"/>
      <c r="N22" s="1068"/>
      <c r="O22" s="1059"/>
    </row>
    <row r="23" spans="1:15" s="184" customFormat="1" ht="24.75" customHeight="1">
      <c r="A23" s="175">
        <v>9</v>
      </c>
      <c r="B23" s="164"/>
      <c r="C23" s="164"/>
      <c r="D23" s="1052"/>
      <c r="E23" s="1053"/>
      <c r="F23" s="1054"/>
      <c r="G23" s="1064"/>
      <c r="H23" s="1065"/>
      <c r="I23" s="1057"/>
      <c r="J23" s="1058"/>
      <c r="K23" s="1059"/>
      <c r="L23" s="1062"/>
      <c r="M23" s="1063"/>
      <c r="N23" s="1068"/>
      <c r="O23" s="1059"/>
    </row>
    <row r="24" spans="1:15" s="184" customFormat="1" ht="24.75" customHeight="1" thickBot="1">
      <c r="A24" s="176">
        <v>10</v>
      </c>
      <c r="B24" s="165"/>
      <c r="C24" s="165"/>
      <c r="D24" s="1032"/>
      <c r="E24" s="1033"/>
      <c r="F24" s="1034"/>
      <c r="G24" s="1044"/>
      <c r="H24" s="1051"/>
      <c r="I24" s="1073"/>
      <c r="J24" s="1074"/>
      <c r="K24" s="1075"/>
      <c r="L24" s="1071"/>
      <c r="M24" s="1072"/>
      <c r="N24" s="1030"/>
      <c r="O24" s="1031"/>
    </row>
    <row r="25" spans="1:15" s="184" customFormat="1" ht="24.75" customHeight="1">
      <c r="A25" s="496" t="s">
        <v>38</v>
      </c>
      <c r="B25" s="495"/>
      <c r="C25" s="495"/>
      <c r="D25" s="1038"/>
      <c r="E25" s="1039"/>
      <c r="F25" s="1040"/>
      <c r="G25" s="1069"/>
      <c r="H25" s="1070"/>
      <c r="I25" s="1035"/>
      <c r="J25" s="1036"/>
      <c r="K25" s="1037"/>
      <c r="L25" s="1076"/>
      <c r="M25" s="1077"/>
      <c r="N25" s="1066"/>
      <c r="O25" s="1067"/>
    </row>
    <row r="26" spans="1:15" s="184" customFormat="1" ht="24.75" customHeight="1" thickBot="1">
      <c r="A26" s="178" t="s">
        <v>39</v>
      </c>
      <c r="B26" s="165"/>
      <c r="C26" s="165"/>
      <c r="D26" s="1041"/>
      <c r="E26" s="1042"/>
      <c r="F26" s="1043"/>
      <c r="G26" s="1044"/>
      <c r="H26" s="1045"/>
      <c r="I26" s="1046"/>
      <c r="J26" s="1047"/>
      <c r="K26" s="1048"/>
      <c r="L26" s="1049"/>
      <c r="M26" s="1050"/>
      <c r="N26" s="1030"/>
      <c r="O26" s="1031"/>
    </row>
    <row r="27" spans="1:15" s="184" customFormat="1" ht="24.75" customHeight="1" thickBot="1">
      <c r="A27" s="386" t="s">
        <v>235</v>
      </c>
      <c r="B27" s="387"/>
      <c r="C27" s="387"/>
      <c r="D27" s="387"/>
      <c r="E27" s="387"/>
      <c r="F27" s="388"/>
      <c r="G27" s="389">
        <f>G65</f>
      </c>
      <c r="H27" s="218" t="s">
        <v>236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1">
    <mergeCell ref="E1:M1"/>
    <mergeCell ref="E2:M2"/>
    <mergeCell ref="E4:H4"/>
    <mergeCell ref="A8:O8"/>
    <mergeCell ref="D14:F14"/>
    <mergeCell ref="D16:F16"/>
    <mergeCell ref="I16:K16"/>
    <mergeCell ref="G15:H15"/>
    <mergeCell ref="I15:K15"/>
    <mergeCell ref="J10:O10"/>
    <mergeCell ref="L18:M18"/>
    <mergeCell ref="D15:F15"/>
    <mergeCell ref="G17:H17"/>
    <mergeCell ref="I17:K17"/>
    <mergeCell ref="L15:M15"/>
    <mergeCell ref="L16:M16"/>
    <mergeCell ref="L14:M14"/>
    <mergeCell ref="D10:H10"/>
    <mergeCell ref="N14:O14"/>
    <mergeCell ref="G14:H14"/>
    <mergeCell ref="G20:H20"/>
    <mergeCell ref="D20:F20"/>
    <mergeCell ref="N18:O18"/>
    <mergeCell ref="L17:M17"/>
    <mergeCell ref="N15:O15"/>
    <mergeCell ref="I14:K14"/>
    <mergeCell ref="N17:O17"/>
    <mergeCell ref="I20:K20"/>
    <mergeCell ref="D19:F19"/>
    <mergeCell ref="G16:H16"/>
    <mergeCell ref="I19:K19"/>
    <mergeCell ref="D17:F17"/>
    <mergeCell ref="D18:F18"/>
    <mergeCell ref="G18:H18"/>
    <mergeCell ref="I18:K18"/>
    <mergeCell ref="N16:O16"/>
    <mergeCell ref="I22:K22"/>
    <mergeCell ref="N23:O23"/>
    <mergeCell ref="I21:K21"/>
    <mergeCell ref="L20:M20"/>
    <mergeCell ref="N20:O20"/>
    <mergeCell ref="N19:O19"/>
    <mergeCell ref="G21:H21"/>
    <mergeCell ref="N25:O25"/>
    <mergeCell ref="N22:O22"/>
    <mergeCell ref="N21:O21"/>
    <mergeCell ref="G25:H25"/>
    <mergeCell ref="L23:M23"/>
    <mergeCell ref="L24:M24"/>
    <mergeCell ref="I24:K24"/>
    <mergeCell ref="N24:O24"/>
    <mergeCell ref="L25:M25"/>
    <mergeCell ref="D23:F23"/>
    <mergeCell ref="G19:H19"/>
    <mergeCell ref="I23:K23"/>
    <mergeCell ref="L19:M19"/>
    <mergeCell ref="D22:F22"/>
    <mergeCell ref="L22:M22"/>
    <mergeCell ref="G22:H22"/>
    <mergeCell ref="D21:F21"/>
    <mergeCell ref="L21:M21"/>
    <mergeCell ref="G23:H23"/>
    <mergeCell ref="N26:O26"/>
    <mergeCell ref="D24:F24"/>
    <mergeCell ref="I25:K25"/>
    <mergeCell ref="D25:F25"/>
    <mergeCell ref="D26:F26"/>
    <mergeCell ref="G26:H26"/>
    <mergeCell ref="I26:K26"/>
    <mergeCell ref="L26:M26"/>
    <mergeCell ref="G24:H24"/>
  </mergeCells>
  <conditionalFormatting sqref="D25:F26">
    <cfRule type="expression" priority="25" dxfId="2" stopIfTrue="1">
      <formula>$O39&lt;0</formula>
    </cfRule>
    <cfRule type="expression" priority="26" dxfId="0" stopIfTrue="1">
      <formula>$K51=2</formula>
    </cfRule>
    <cfRule type="expression" priority="27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81" t="str">
        <f>Mannschaften!N11</f>
        <v>TB Oppau</v>
      </c>
      <c r="E10" s="1081"/>
      <c r="F10" s="1081"/>
      <c r="G10" s="1081"/>
      <c r="H10" s="1081"/>
      <c r="I10" s="170"/>
      <c r="J10" s="1027"/>
      <c r="K10" s="1027"/>
      <c r="L10" s="1027"/>
      <c r="M10" s="1027"/>
      <c r="N10" s="1027"/>
      <c r="O10" s="1027"/>
    </row>
    <row r="11" s="184" customFormat="1" ht="6" customHeight="1"/>
    <row r="12" spans="6:14" s="184" customFormat="1" ht="18">
      <c r="F12" s="170" t="s">
        <v>149</v>
      </c>
      <c r="G12" s="168" t="str">
        <f>Mannschaften!K3</f>
        <v>m U18</v>
      </c>
      <c r="H12" s="170"/>
      <c r="I12" s="170" t="s">
        <v>129</v>
      </c>
      <c r="L12" s="172">
        <f>IF(Mannschaften!U3="","",Mannschaften!U3)</f>
      </c>
      <c r="M12" s="173">
        <f>IF(Mannschaften!X3="","",Mannschaften!X3)</f>
      </c>
      <c r="N12" s="170"/>
    </row>
    <row r="13" s="184" customFormat="1" ht="13.5" thickBot="1"/>
    <row r="14" spans="1:15" s="184" customFormat="1" ht="24.75" customHeight="1" thickBot="1">
      <c r="A14" s="497"/>
      <c r="B14" s="494" t="s">
        <v>105</v>
      </c>
      <c r="C14" s="494" t="s">
        <v>18</v>
      </c>
      <c r="D14" s="1022" t="s">
        <v>20</v>
      </c>
      <c r="E14" s="1022"/>
      <c r="F14" s="1022"/>
      <c r="G14" s="1022" t="s">
        <v>126</v>
      </c>
      <c r="H14" s="1022"/>
      <c r="I14" s="1022" t="s">
        <v>148</v>
      </c>
      <c r="J14" s="1022"/>
      <c r="K14" s="1022"/>
      <c r="L14" s="498" t="s">
        <v>127</v>
      </c>
      <c r="M14" s="498"/>
      <c r="N14" s="1022" t="s">
        <v>128</v>
      </c>
      <c r="O14" s="1022"/>
    </row>
    <row r="15" spans="1:15" s="184" customFormat="1" ht="24.75" customHeight="1">
      <c r="A15" s="174">
        <v>1</v>
      </c>
      <c r="B15" s="490"/>
      <c r="C15" s="591"/>
      <c r="D15" s="1084"/>
      <c r="E15" s="1085"/>
      <c r="F15" s="1086"/>
      <c r="G15" s="1121"/>
      <c r="H15" s="1122"/>
      <c r="I15" s="1116"/>
      <c r="J15" s="1117"/>
      <c r="K15" s="1118"/>
      <c r="L15" s="1119"/>
      <c r="M15" s="1120"/>
      <c r="N15" s="1099"/>
      <c r="O15" s="1099"/>
    </row>
    <row r="16" spans="1:15" s="184" customFormat="1" ht="24.75" customHeight="1">
      <c r="A16" s="175">
        <v>2</v>
      </c>
      <c r="B16" s="437"/>
      <c r="C16" s="590"/>
      <c r="D16" s="1052"/>
      <c r="E16" s="1053"/>
      <c r="F16" s="1054"/>
      <c r="G16" s="1064"/>
      <c r="H16" s="1065"/>
      <c r="I16" s="1111"/>
      <c r="J16" s="1112"/>
      <c r="K16" s="1113"/>
      <c r="L16" s="1114"/>
      <c r="M16" s="1115"/>
      <c r="N16" s="1105"/>
      <c r="O16" s="1105"/>
    </row>
    <row r="17" spans="1:15" s="184" customFormat="1" ht="24.75" customHeight="1">
      <c r="A17" s="175">
        <v>3</v>
      </c>
      <c r="B17" s="437"/>
      <c r="C17" s="590"/>
      <c r="D17" s="1052"/>
      <c r="E17" s="1053"/>
      <c r="F17" s="1054"/>
      <c r="G17" s="1064"/>
      <c r="H17" s="1065"/>
      <c r="I17" s="1111"/>
      <c r="J17" s="1112"/>
      <c r="K17" s="1113"/>
      <c r="L17" s="1114"/>
      <c r="M17" s="1115"/>
      <c r="N17" s="1105"/>
      <c r="O17" s="1105"/>
    </row>
    <row r="18" spans="1:15" s="184" customFormat="1" ht="24.75" customHeight="1">
      <c r="A18" s="175">
        <v>4</v>
      </c>
      <c r="B18" s="437"/>
      <c r="C18" s="590"/>
      <c r="D18" s="1052"/>
      <c r="E18" s="1053"/>
      <c r="F18" s="1054"/>
      <c r="G18" s="1064"/>
      <c r="H18" s="1065"/>
      <c r="I18" s="1111"/>
      <c r="J18" s="1112"/>
      <c r="K18" s="1113"/>
      <c r="L18" s="1114"/>
      <c r="M18" s="1115"/>
      <c r="N18" s="1105"/>
      <c r="O18" s="1105"/>
    </row>
    <row r="19" spans="1:15" s="184" customFormat="1" ht="24.75" customHeight="1">
      <c r="A19" s="175">
        <v>5</v>
      </c>
      <c r="B19" s="437"/>
      <c r="C19" s="590"/>
      <c r="D19" s="1052"/>
      <c r="E19" s="1053"/>
      <c r="F19" s="1054"/>
      <c r="G19" s="1064"/>
      <c r="H19" s="1065"/>
      <c r="I19" s="1111"/>
      <c r="J19" s="1112"/>
      <c r="K19" s="1113"/>
      <c r="L19" s="1114"/>
      <c r="M19" s="1115"/>
      <c r="N19" s="1105"/>
      <c r="O19" s="1105"/>
    </row>
    <row r="20" spans="1:15" s="184" customFormat="1" ht="24.75" customHeight="1">
      <c r="A20" s="175">
        <v>6</v>
      </c>
      <c r="B20" s="437"/>
      <c r="C20" s="590"/>
      <c r="D20" s="1052"/>
      <c r="E20" s="1053"/>
      <c r="F20" s="1054"/>
      <c r="G20" s="1064"/>
      <c r="H20" s="1065"/>
      <c r="I20" s="1111"/>
      <c r="J20" s="1112"/>
      <c r="K20" s="1113"/>
      <c r="L20" s="1114"/>
      <c r="M20" s="1115"/>
      <c r="N20" s="1105"/>
      <c r="O20" s="1105"/>
    </row>
    <row r="21" spans="1:15" s="184" customFormat="1" ht="24.75" customHeight="1">
      <c r="A21" s="175">
        <v>7</v>
      </c>
      <c r="B21" s="437"/>
      <c r="C21" s="590"/>
      <c r="D21" s="1052"/>
      <c r="E21" s="1053"/>
      <c r="F21" s="1054"/>
      <c r="G21" s="1064"/>
      <c r="H21" s="1065"/>
      <c r="I21" s="1111"/>
      <c r="J21" s="1112"/>
      <c r="K21" s="1113"/>
      <c r="L21" s="1114"/>
      <c r="M21" s="1115"/>
      <c r="N21" s="1105"/>
      <c r="O21" s="1105"/>
    </row>
    <row r="22" spans="1:15" s="184" customFormat="1" ht="24.75" customHeight="1">
      <c r="A22" s="175">
        <v>8</v>
      </c>
      <c r="B22" s="437"/>
      <c r="C22" s="437"/>
      <c r="D22" s="1052"/>
      <c r="E22" s="1053"/>
      <c r="F22" s="1054"/>
      <c r="G22" s="1110"/>
      <c r="H22" s="1110"/>
      <c r="I22" s="1108"/>
      <c r="J22" s="1108"/>
      <c r="K22" s="1108"/>
      <c r="L22" s="1109"/>
      <c r="M22" s="1109"/>
      <c r="N22" s="1105"/>
      <c r="O22" s="1105"/>
    </row>
    <row r="23" spans="1:15" s="184" customFormat="1" ht="24.75" customHeight="1">
      <c r="A23" s="175">
        <v>9</v>
      </c>
      <c r="B23" s="437"/>
      <c r="C23" s="437"/>
      <c r="D23" s="1052"/>
      <c r="E23" s="1053"/>
      <c r="F23" s="1054"/>
      <c r="G23" s="1110"/>
      <c r="H23" s="1110"/>
      <c r="I23" s="1108"/>
      <c r="J23" s="1108"/>
      <c r="K23" s="1108"/>
      <c r="L23" s="1109"/>
      <c r="M23" s="1109"/>
      <c r="N23" s="1105"/>
      <c r="O23" s="1105"/>
    </row>
    <row r="24" spans="1:15" s="184" customFormat="1" ht="24.75" customHeight="1" thickBot="1">
      <c r="A24" s="176">
        <v>10</v>
      </c>
      <c r="B24" s="491"/>
      <c r="C24" s="491"/>
      <c r="D24" s="1032"/>
      <c r="E24" s="1033"/>
      <c r="F24" s="1034"/>
      <c r="G24" s="1096"/>
      <c r="H24" s="1096"/>
      <c r="I24" s="1106"/>
      <c r="J24" s="1106"/>
      <c r="K24" s="1106"/>
      <c r="L24" s="1107"/>
      <c r="M24" s="1107"/>
      <c r="N24" s="1100"/>
      <c r="O24" s="1100"/>
    </row>
    <row r="25" spans="1:15" s="184" customFormat="1" ht="24.75" customHeight="1">
      <c r="A25" s="177" t="s">
        <v>38</v>
      </c>
      <c r="B25" s="490"/>
      <c r="C25" s="490"/>
      <c r="D25" s="1097"/>
      <c r="E25" s="1097"/>
      <c r="F25" s="1097"/>
      <c r="G25" s="1098"/>
      <c r="H25" s="1098"/>
      <c r="I25" s="1103"/>
      <c r="J25" s="1103"/>
      <c r="K25" s="1103"/>
      <c r="L25" s="1104"/>
      <c r="M25" s="1104"/>
      <c r="N25" s="1099"/>
      <c r="O25" s="1099"/>
    </row>
    <row r="26" spans="1:15" s="184" customFormat="1" ht="24.75" customHeight="1" thickBot="1">
      <c r="A26" s="178" t="s">
        <v>39</v>
      </c>
      <c r="B26" s="491"/>
      <c r="C26" s="491"/>
      <c r="D26" s="1095"/>
      <c r="E26" s="1095"/>
      <c r="F26" s="1095"/>
      <c r="G26" s="1096"/>
      <c r="H26" s="1096"/>
      <c r="I26" s="1101"/>
      <c r="J26" s="1101"/>
      <c r="K26" s="1101"/>
      <c r="L26" s="1102"/>
      <c r="M26" s="1102"/>
      <c r="N26" s="1100"/>
      <c r="O26" s="1100"/>
    </row>
    <row r="27" spans="1:15" s="184" customFormat="1" ht="24.75" customHeight="1" thickBot="1">
      <c r="A27" s="508" t="s">
        <v>235</v>
      </c>
      <c r="B27" s="492"/>
      <c r="C27" s="492"/>
      <c r="D27" s="492"/>
      <c r="E27" s="492"/>
      <c r="F27" s="493"/>
      <c r="G27" s="509">
        <f>G65</f>
      </c>
      <c r="H27" s="510" t="s">
        <v>236</v>
      </c>
      <c r="I27" s="492"/>
      <c r="J27" s="492"/>
      <c r="K27" s="492"/>
      <c r="L27" s="492"/>
      <c r="M27" s="492"/>
      <c r="N27" s="492"/>
      <c r="O27" s="493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4:15" ht="12.75" hidden="1">
      <c r="D29" s="167">
        <f aca="true" t="shared" si="0" ref="D29:D38"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1" ref="L29:L35">IF(D29="","",$L$28-G29)</f>
      </c>
      <c r="M29" s="162">
        <f aca="true" t="shared" si="2" ref="M29:M35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t="shared" si="0"/>
      </c>
      <c r="E30" s="167">
        <f aca="true" t="shared" si="3" ref="E30:E36">IF(D30="","",D30+1)</f>
      </c>
      <c r="F30" s="166">
        <f aca="true" t="shared" si="4" ref="F30:F35">IF(D30="","",DAY(D30))</f>
      </c>
      <c r="G30" s="166">
        <f aca="true" t="shared" si="5" ref="G30:G35">IF(D30="","",MONTH(D30))</f>
      </c>
      <c r="H30" s="162">
        <f aca="true" t="shared" si="6" ref="H30:H35">IF(D30="","",YEAR(D30))</f>
      </c>
      <c r="K30" s="162">
        <f aca="true" t="shared" si="7" ref="K30:K35">IF(D30="","",$K$28-F30)</f>
      </c>
      <c r="L30" s="162">
        <f t="shared" si="1"/>
      </c>
      <c r="M30" s="162">
        <f t="shared" si="2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0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1"/>
      </c>
      <c r="M31" s="162">
        <f t="shared" si="2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0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1"/>
      </c>
      <c r="M32" s="162">
        <f t="shared" si="2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0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1"/>
      </c>
      <c r="M33" s="162">
        <f t="shared" si="2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 t="shared" si="0"/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1"/>
      </c>
      <c r="M34" s="162">
        <f t="shared" si="2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 t="shared" si="0"/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1"/>
      </c>
      <c r="M35" s="162">
        <f t="shared" si="2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0"/>
      </c>
      <c r="E36" s="167">
        <f t="shared" si="3"/>
      </c>
      <c r="F36" s="166">
        <f>IF(D36="","",DAY(D36))</f>
      </c>
      <c r="G36" s="166">
        <f>IF(D36="","",MONTH(D36))</f>
      </c>
      <c r="H36" s="162">
        <f>IF(D36="","",YEAR(D36))</f>
      </c>
      <c r="K36" s="162">
        <f>IF(D36="","",$K$28-F36)</f>
      </c>
      <c r="L36" s="162">
        <f>IF(D36="","",$L$28-G36)</f>
      </c>
      <c r="M36" s="162">
        <f>IF(D36="","",$M$28-H36)</f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0"/>
      </c>
      <c r="E37" s="167">
        <f>IF(D37="","",D37+1)</f>
      </c>
      <c r="F37" s="166">
        <f>IF(D37="","",DAY(D37))</f>
      </c>
      <c r="G37" s="166">
        <f>IF(D37="","",MONTH(D37))</f>
      </c>
      <c r="H37" s="162">
        <f>IF(D37="","",YEAR(D37))</f>
      </c>
      <c r="K37" s="162">
        <f>IF(D37="","",$K$28-F37)</f>
      </c>
      <c r="L37" s="162">
        <f>IF(D37="","",$L$28-G37)</f>
      </c>
      <c r="M37" s="162">
        <f>IF(D37="","",$M$28-H37)</f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0"/>
      </c>
      <c r="E38" s="167">
        <f>IF(D38="","",D38+1)</f>
      </c>
      <c r="F38" s="166">
        <f>IF(D38="","",DAY(D38))</f>
      </c>
      <c r="G38" s="166">
        <f>IF(D38="","",MONTH(D38))</f>
      </c>
      <c r="H38" s="162">
        <f>IF(D38="","",YEAR(D38))</f>
      </c>
      <c r="K38" s="162">
        <f>IF(D38="","",$K$28-F38)</f>
      </c>
      <c r="L38" s="162">
        <f>IF(D38="","",$L$28-G38)</f>
      </c>
      <c r="M38" s="162">
        <f>IF(D38="","",$M$28-H38)</f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0">IF(G16="","",I$4-G16)</f>
      </c>
      <c r="H55" s="162">
        <f aca="true" t="shared" si="16" ref="H55:H61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>IF(G22="","",I$4-G22)</f>
      </c>
      <c r="H61" s="162">
        <f t="shared" si="16"/>
        <v>0</v>
      </c>
    </row>
    <row r="62" spans="7:8" ht="12.75" hidden="1">
      <c r="G62" s="166">
        <f>IF(G23="","",I$4-G23)</f>
      </c>
      <c r="H62" s="162">
        <f>IF(G62="",0,1)</f>
        <v>0</v>
      </c>
    </row>
    <row r="63" spans="7:8" ht="12.75" hidden="1">
      <c r="G63" s="166">
        <f>IF(G24="","",I$4-G24)</f>
      </c>
      <c r="H63" s="162">
        <f>IF(G63="",0,1)</f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D15:F15"/>
    <mergeCell ref="D16:F16"/>
    <mergeCell ref="D17:F17"/>
    <mergeCell ref="D18:F18"/>
    <mergeCell ref="E1:M1"/>
    <mergeCell ref="E2:M2"/>
    <mergeCell ref="E4:H4"/>
    <mergeCell ref="A8:O8"/>
    <mergeCell ref="J10:O10"/>
    <mergeCell ref="D14:F14"/>
    <mergeCell ref="G14:H14"/>
    <mergeCell ref="I14:K14"/>
    <mergeCell ref="N14:O14"/>
    <mergeCell ref="D10:H10"/>
    <mergeCell ref="N15:O15"/>
    <mergeCell ref="G16:H16"/>
    <mergeCell ref="I16:K16"/>
    <mergeCell ref="L16:M16"/>
    <mergeCell ref="N16:O16"/>
    <mergeCell ref="G15:H15"/>
    <mergeCell ref="I15:K15"/>
    <mergeCell ref="L15:M15"/>
    <mergeCell ref="N17:O17"/>
    <mergeCell ref="N18:O18"/>
    <mergeCell ref="G17:H17"/>
    <mergeCell ref="I17:K17"/>
    <mergeCell ref="L17:M17"/>
    <mergeCell ref="G18:H18"/>
    <mergeCell ref="I18:K18"/>
    <mergeCell ref="L18:M18"/>
    <mergeCell ref="N19:O19"/>
    <mergeCell ref="G20:H20"/>
    <mergeCell ref="N20:O20"/>
    <mergeCell ref="D19:F19"/>
    <mergeCell ref="G19:H19"/>
    <mergeCell ref="I19:K19"/>
    <mergeCell ref="L19:M19"/>
    <mergeCell ref="I20:K20"/>
    <mergeCell ref="L20:M20"/>
    <mergeCell ref="D20:F20"/>
    <mergeCell ref="I22:K22"/>
    <mergeCell ref="L22:M22"/>
    <mergeCell ref="N21:O21"/>
    <mergeCell ref="D22:F22"/>
    <mergeCell ref="N22:O22"/>
    <mergeCell ref="G21:H21"/>
    <mergeCell ref="I21:K21"/>
    <mergeCell ref="L21:M21"/>
    <mergeCell ref="G22:H22"/>
    <mergeCell ref="D21:F21"/>
    <mergeCell ref="D23:F23"/>
    <mergeCell ref="N23:O23"/>
    <mergeCell ref="D24:F24"/>
    <mergeCell ref="G24:H24"/>
    <mergeCell ref="I24:K24"/>
    <mergeCell ref="L24:M24"/>
    <mergeCell ref="I23:K23"/>
    <mergeCell ref="N24:O24"/>
    <mergeCell ref="L23:M23"/>
    <mergeCell ref="G23:H23"/>
    <mergeCell ref="D26:F26"/>
    <mergeCell ref="G26:H26"/>
    <mergeCell ref="D25:F25"/>
    <mergeCell ref="G25:H25"/>
    <mergeCell ref="N25:O25"/>
    <mergeCell ref="N26:O26"/>
    <mergeCell ref="I26:K26"/>
    <mergeCell ref="L26:M26"/>
    <mergeCell ref="I25:K25"/>
    <mergeCell ref="L25:M25"/>
  </mergeCells>
  <conditionalFormatting sqref="D25:F25">
    <cfRule type="expression" priority="28" dxfId="2" stopIfTrue="1">
      <formula>$O39&lt;0</formula>
    </cfRule>
    <cfRule type="expression" priority="29" dxfId="0" stopIfTrue="1">
      <formula>$K51=2</formula>
    </cfRule>
    <cfRule type="expression" priority="30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81" t="str">
        <f>Mannschaften!S11</f>
        <v>TuS Wickrath</v>
      </c>
      <c r="E10" s="1081"/>
      <c r="F10" s="1081"/>
      <c r="G10" s="1081"/>
      <c r="H10" s="1081"/>
      <c r="I10" s="170"/>
      <c r="J10" s="1027"/>
      <c r="K10" s="1027"/>
      <c r="L10" s="1027"/>
      <c r="M10" s="1027"/>
      <c r="N10" s="1027"/>
      <c r="O10" s="1027"/>
    </row>
    <row r="11" s="184" customFormat="1" ht="6" customHeight="1"/>
    <row r="12" spans="6:14" s="184" customFormat="1" ht="18">
      <c r="F12" s="170" t="s">
        <v>149</v>
      </c>
      <c r="G12" s="168" t="str">
        <f>Mannschaften!K3</f>
        <v>m U18</v>
      </c>
      <c r="H12" s="170"/>
      <c r="I12" s="170" t="s">
        <v>129</v>
      </c>
      <c r="L12" s="172">
        <f>IF(Mannschaften!U3="","",Mannschaften!U3)</f>
      </c>
      <c r="M12" s="173">
        <f>IF(Mannschaften!X3="","",Mannschaften!X3)</f>
      </c>
      <c r="N12" s="170"/>
    </row>
    <row r="13" s="184" customFormat="1" ht="13.5" thickBot="1"/>
    <row r="14" spans="1:15" s="184" customFormat="1" ht="24.75" customHeight="1" thickBot="1">
      <c r="A14" s="497"/>
      <c r="B14" s="494" t="s">
        <v>105</v>
      </c>
      <c r="C14" s="494" t="s">
        <v>18</v>
      </c>
      <c r="D14" s="1022" t="s">
        <v>20</v>
      </c>
      <c r="E14" s="1022"/>
      <c r="F14" s="1022"/>
      <c r="G14" s="1022" t="s">
        <v>126</v>
      </c>
      <c r="H14" s="1022"/>
      <c r="I14" s="1022" t="s">
        <v>148</v>
      </c>
      <c r="J14" s="1022"/>
      <c r="K14" s="1022"/>
      <c r="L14" s="498" t="s">
        <v>127</v>
      </c>
      <c r="M14" s="498"/>
      <c r="N14" s="1022" t="s">
        <v>128</v>
      </c>
      <c r="O14" s="1022"/>
    </row>
    <row r="15" spans="1:15" s="184" customFormat="1" ht="24.75" customHeight="1">
      <c r="A15" s="174">
        <v>1</v>
      </c>
      <c r="B15" s="163"/>
      <c r="C15" s="591"/>
      <c r="D15" s="1084"/>
      <c r="E15" s="1085"/>
      <c r="F15" s="1086"/>
      <c r="G15" s="1121"/>
      <c r="H15" s="1122"/>
      <c r="I15" s="1116"/>
      <c r="J15" s="1117"/>
      <c r="K15" s="1118"/>
      <c r="L15" s="1119"/>
      <c r="M15" s="1120"/>
      <c r="N15" s="1134"/>
      <c r="O15" s="1135"/>
    </row>
    <row r="16" spans="1:15" s="184" customFormat="1" ht="24.75" customHeight="1">
      <c r="A16" s="175">
        <v>2</v>
      </c>
      <c r="B16" s="164"/>
      <c r="C16" s="590"/>
      <c r="D16" s="1052"/>
      <c r="E16" s="1053"/>
      <c r="F16" s="1054"/>
      <c r="G16" s="1064"/>
      <c r="H16" s="1065"/>
      <c r="I16" s="1111"/>
      <c r="J16" s="1112"/>
      <c r="K16" s="1113"/>
      <c r="L16" s="1114"/>
      <c r="M16" s="1115"/>
      <c r="N16" s="1126"/>
      <c r="O16" s="1127"/>
    </row>
    <row r="17" spans="1:15" s="184" customFormat="1" ht="24.75" customHeight="1">
      <c r="A17" s="175">
        <v>3</v>
      </c>
      <c r="B17" s="164"/>
      <c r="C17" s="590"/>
      <c r="D17" s="1052"/>
      <c r="E17" s="1053"/>
      <c r="F17" s="1054"/>
      <c r="G17" s="1064"/>
      <c r="H17" s="1065"/>
      <c r="I17" s="1111"/>
      <c r="J17" s="1112"/>
      <c r="K17" s="1113"/>
      <c r="L17" s="1114"/>
      <c r="M17" s="1115"/>
      <c r="N17" s="1126"/>
      <c r="O17" s="1127"/>
    </row>
    <row r="18" spans="1:15" s="184" customFormat="1" ht="24.75" customHeight="1">
      <c r="A18" s="175">
        <v>4</v>
      </c>
      <c r="B18" s="164"/>
      <c r="C18" s="590"/>
      <c r="D18" s="1052"/>
      <c r="E18" s="1053"/>
      <c r="F18" s="1054"/>
      <c r="G18" s="1064"/>
      <c r="H18" s="1065"/>
      <c r="I18" s="1111"/>
      <c r="J18" s="1112"/>
      <c r="K18" s="1113"/>
      <c r="L18" s="1114"/>
      <c r="M18" s="1115"/>
      <c r="N18" s="1126"/>
      <c r="O18" s="1127"/>
    </row>
    <row r="19" spans="1:15" s="184" customFormat="1" ht="24.75" customHeight="1">
      <c r="A19" s="175">
        <v>5</v>
      </c>
      <c r="B19" s="164"/>
      <c r="C19" s="590"/>
      <c r="D19" s="1052"/>
      <c r="E19" s="1053"/>
      <c r="F19" s="1054"/>
      <c r="G19" s="1064"/>
      <c r="H19" s="1065"/>
      <c r="I19" s="1111"/>
      <c r="J19" s="1112"/>
      <c r="K19" s="1113"/>
      <c r="L19" s="1114"/>
      <c r="M19" s="1115"/>
      <c r="N19" s="1126"/>
      <c r="O19" s="1127"/>
    </row>
    <row r="20" spans="1:15" s="184" customFormat="1" ht="24.75" customHeight="1">
      <c r="A20" s="175">
        <v>6</v>
      </c>
      <c r="B20" s="164"/>
      <c r="C20" s="590"/>
      <c r="D20" s="1052"/>
      <c r="E20" s="1053"/>
      <c r="F20" s="1054"/>
      <c r="G20" s="1064"/>
      <c r="H20" s="1065"/>
      <c r="I20" s="1111"/>
      <c r="J20" s="1112"/>
      <c r="K20" s="1113"/>
      <c r="L20" s="1114"/>
      <c r="M20" s="1115"/>
      <c r="N20" s="1126"/>
      <c r="O20" s="1127"/>
    </row>
    <row r="21" spans="1:15" s="184" customFormat="1" ht="24.75" customHeight="1">
      <c r="A21" s="175">
        <v>7</v>
      </c>
      <c r="B21" s="164"/>
      <c r="C21" s="590"/>
      <c r="D21" s="1052"/>
      <c r="E21" s="1053"/>
      <c r="F21" s="1054"/>
      <c r="G21" s="1064"/>
      <c r="H21" s="1065"/>
      <c r="I21" s="1111"/>
      <c r="J21" s="1112"/>
      <c r="K21" s="1113"/>
      <c r="L21" s="1114"/>
      <c r="M21" s="1115"/>
      <c r="N21" s="1126"/>
      <c r="O21" s="1127"/>
    </row>
    <row r="22" spans="1:15" s="184" customFormat="1" ht="24.75" customHeight="1">
      <c r="A22" s="175">
        <v>8</v>
      </c>
      <c r="B22" s="164"/>
      <c r="C22" s="590"/>
      <c r="D22" s="1052"/>
      <c r="E22" s="1053"/>
      <c r="F22" s="1054"/>
      <c r="G22" s="1064"/>
      <c r="H22" s="1065"/>
      <c r="I22" s="1111"/>
      <c r="J22" s="1112"/>
      <c r="K22" s="1113"/>
      <c r="L22" s="1114"/>
      <c r="M22" s="1115"/>
      <c r="N22" s="1126"/>
      <c r="O22" s="1127"/>
    </row>
    <row r="23" spans="1:15" s="184" customFormat="1" ht="24.75" customHeight="1">
      <c r="A23" s="175">
        <v>9</v>
      </c>
      <c r="B23" s="164"/>
      <c r="C23" s="164"/>
      <c r="D23" s="1052"/>
      <c r="E23" s="1053"/>
      <c r="F23" s="1054"/>
      <c r="G23" s="1064"/>
      <c r="H23" s="1065"/>
      <c r="I23" s="1057"/>
      <c r="J23" s="1058"/>
      <c r="K23" s="1059"/>
      <c r="L23" s="1062"/>
      <c r="M23" s="1063"/>
      <c r="N23" s="1126"/>
      <c r="O23" s="1127"/>
    </row>
    <row r="24" spans="1:15" s="184" customFormat="1" ht="24.75" customHeight="1" thickBot="1">
      <c r="A24" s="176">
        <v>10</v>
      </c>
      <c r="B24" s="165"/>
      <c r="C24" s="165"/>
      <c r="D24" s="1032"/>
      <c r="E24" s="1033"/>
      <c r="F24" s="1034"/>
      <c r="G24" s="1044"/>
      <c r="H24" s="1045"/>
      <c r="I24" s="1128"/>
      <c r="J24" s="1129"/>
      <c r="K24" s="1031"/>
      <c r="L24" s="1130"/>
      <c r="M24" s="1131"/>
      <c r="N24" s="1132"/>
      <c r="O24" s="1133"/>
    </row>
    <row r="25" spans="1:15" s="184" customFormat="1" ht="24.75" customHeight="1">
      <c r="A25" s="496" t="s">
        <v>38</v>
      </c>
      <c r="B25" s="495"/>
      <c r="C25" s="495"/>
      <c r="D25" s="1038"/>
      <c r="E25" s="1039"/>
      <c r="F25" s="1040"/>
      <c r="G25" s="1069"/>
      <c r="H25" s="1070"/>
      <c r="I25" s="1035"/>
      <c r="J25" s="1036"/>
      <c r="K25" s="1037"/>
      <c r="L25" s="1076"/>
      <c r="M25" s="1077"/>
      <c r="N25" s="1066"/>
      <c r="O25" s="1067"/>
    </row>
    <row r="26" spans="1:15" s="184" customFormat="1" ht="24.75" customHeight="1" thickBot="1">
      <c r="A26" s="178" t="s">
        <v>39</v>
      </c>
      <c r="B26" s="165"/>
      <c r="C26" s="165"/>
      <c r="D26" s="1123"/>
      <c r="E26" s="1124"/>
      <c r="F26" s="1125"/>
      <c r="G26" s="1044"/>
      <c r="H26" s="1045"/>
      <c r="I26" s="1046"/>
      <c r="J26" s="1047"/>
      <c r="K26" s="1048"/>
      <c r="L26" s="1049"/>
      <c r="M26" s="1050"/>
      <c r="N26" s="1030"/>
      <c r="O26" s="1031"/>
    </row>
    <row r="27" spans="1:15" s="184" customFormat="1" ht="24.75" customHeight="1" thickBot="1">
      <c r="A27" s="386" t="s">
        <v>235</v>
      </c>
      <c r="B27" s="387"/>
      <c r="C27" s="387"/>
      <c r="D27" s="387"/>
      <c r="E27" s="387"/>
      <c r="F27" s="388"/>
      <c r="G27" s="389">
        <f>G65</f>
      </c>
      <c r="H27" s="218" t="s">
        <v>236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N16:O16"/>
    <mergeCell ref="D16:F16"/>
    <mergeCell ref="G16:H16"/>
    <mergeCell ref="I16:K16"/>
    <mergeCell ref="L16:M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N20:O20"/>
    <mergeCell ref="D19:F19"/>
    <mergeCell ref="G19:H19"/>
    <mergeCell ref="I19:K19"/>
    <mergeCell ref="L19:M19"/>
    <mergeCell ref="D20:F20"/>
    <mergeCell ref="G20:H20"/>
    <mergeCell ref="I20:K20"/>
    <mergeCell ref="L20:M20"/>
    <mergeCell ref="N21:O21"/>
    <mergeCell ref="D22:F22"/>
    <mergeCell ref="G22:H22"/>
    <mergeCell ref="I22:K22"/>
    <mergeCell ref="L22:M22"/>
    <mergeCell ref="N22:O22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81" t="str">
        <f>Mannschaften!X11</f>
        <v>Berliner Turnerschaft</v>
      </c>
      <c r="E10" s="1081"/>
      <c r="F10" s="1081"/>
      <c r="G10" s="1081"/>
      <c r="H10" s="1081"/>
      <c r="I10" s="170"/>
      <c r="J10" s="1027"/>
      <c r="K10" s="1027"/>
      <c r="L10" s="1027"/>
      <c r="M10" s="1027"/>
      <c r="N10" s="1027"/>
      <c r="O10" s="1027"/>
    </row>
    <row r="11" s="184" customFormat="1" ht="6" customHeight="1"/>
    <row r="12" spans="6:14" s="184" customFormat="1" ht="18">
      <c r="F12" s="170" t="s">
        <v>149</v>
      </c>
      <c r="G12" s="168" t="str">
        <f>Mannschaften!K3</f>
        <v>m U18</v>
      </c>
      <c r="H12" s="170"/>
      <c r="I12" s="170" t="s">
        <v>129</v>
      </c>
      <c r="L12" s="172">
        <f>IF(Mannschaften!U3="","",Mannschaften!U3)</f>
      </c>
      <c r="M12" s="173">
        <f>IF(Mannschaften!X3="","",Mannschaften!X3)</f>
      </c>
      <c r="N12" s="170"/>
    </row>
    <row r="13" s="184" customFormat="1" ht="13.5" thickBot="1"/>
    <row r="14" spans="1:15" s="184" customFormat="1" ht="24.75" customHeight="1" thickBot="1">
      <c r="A14" s="497"/>
      <c r="B14" s="494" t="s">
        <v>105</v>
      </c>
      <c r="C14" s="494" t="s">
        <v>18</v>
      </c>
      <c r="D14" s="1022" t="s">
        <v>20</v>
      </c>
      <c r="E14" s="1022"/>
      <c r="F14" s="1022"/>
      <c r="G14" s="1022" t="s">
        <v>126</v>
      </c>
      <c r="H14" s="1022"/>
      <c r="I14" s="1022" t="s">
        <v>148</v>
      </c>
      <c r="J14" s="1022"/>
      <c r="K14" s="1022"/>
      <c r="L14" s="498" t="s">
        <v>127</v>
      </c>
      <c r="M14" s="498"/>
      <c r="N14" s="1022" t="s">
        <v>128</v>
      </c>
      <c r="O14" s="1022"/>
    </row>
    <row r="15" spans="1:15" s="184" customFormat="1" ht="24.75" customHeight="1">
      <c r="A15" s="561">
        <v>1</v>
      </c>
      <c r="B15" s="495"/>
      <c r="C15" s="591"/>
      <c r="D15" s="1084"/>
      <c r="E15" s="1085"/>
      <c r="F15" s="1086"/>
      <c r="G15" s="1168"/>
      <c r="H15" s="1169"/>
      <c r="I15" s="1170"/>
      <c r="J15" s="1171"/>
      <c r="K15" s="1172"/>
      <c r="L15" s="1173"/>
      <c r="M15" s="1174"/>
      <c r="N15" s="1175"/>
      <c r="O15" s="1176"/>
    </row>
    <row r="16" spans="1:15" s="184" customFormat="1" ht="24.75" customHeight="1">
      <c r="A16" s="175">
        <v>2</v>
      </c>
      <c r="B16" s="164"/>
      <c r="C16" s="590"/>
      <c r="D16" s="1052"/>
      <c r="E16" s="1053"/>
      <c r="F16" s="1054"/>
      <c r="G16" s="1166"/>
      <c r="H16" s="1167"/>
      <c r="I16" s="1161"/>
      <c r="J16" s="1162"/>
      <c r="K16" s="1163"/>
      <c r="L16" s="1164"/>
      <c r="M16" s="1165"/>
      <c r="N16" s="1126"/>
      <c r="O16" s="1127"/>
    </row>
    <row r="17" spans="1:15" s="184" customFormat="1" ht="24.75" customHeight="1">
      <c r="A17" s="175">
        <v>3</v>
      </c>
      <c r="B17" s="164"/>
      <c r="C17" s="590"/>
      <c r="D17" s="1052"/>
      <c r="E17" s="1053"/>
      <c r="F17" s="1054"/>
      <c r="G17" s="1166"/>
      <c r="H17" s="1167"/>
      <c r="I17" s="1161"/>
      <c r="J17" s="1162"/>
      <c r="K17" s="1163"/>
      <c r="L17" s="1164"/>
      <c r="M17" s="1165"/>
      <c r="N17" s="1126"/>
      <c r="O17" s="1127"/>
    </row>
    <row r="18" spans="1:15" s="184" customFormat="1" ht="24.75" customHeight="1">
      <c r="A18" s="175">
        <v>4</v>
      </c>
      <c r="B18" s="164"/>
      <c r="C18" s="590"/>
      <c r="D18" s="1052"/>
      <c r="E18" s="1053"/>
      <c r="F18" s="1054"/>
      <c r="G18" s="1166"/>
      <c r="H18" s="1167"/>
      <c r="I18" s="1161"/>
      <c r="J18" s="1162"/>
      <c r="K18" s="1163"/>
      <c r="L18" s="1164"/>
      <c r="M18" s="1165"/>
      <c r="N18" s="1126"/>
      <c r="O18" s="1127"/>
    </row>
    <row r="19" spans="1:15" s="184" customFormat="1" ht="24.75" customHeight="1">
      <c r="A19" s="175">
        <v>5</v>
      </c>
      <c r="B19" s="164"/>
      <c r="C19" s="590"/>
      <c r="D19" s="1052"/>
      <c r="E19" s="1053"/>
      <c r="F19" s="1054"/>
      <c r="G19" s="1166"/>
      <c r="H19" s="1167"/>
      <c r="I19" s="1161"/>
      <c r="J19" s="1162"/>
      <c r="K19" s="1163"/>
      <c r="L19" s="1164"/>
      <c r="M19" s="1165"/>
      <c r="N19" s="1126"/>
      <c r="O19" s="1127"/>
    </row>
    <row r="20" spans="1:15" s="184" customFormat="1" ht="24.75" customHeight="1">
      <c r="A20" s="175">
        <v>6</v>
      </c>
      <c r="B20" s="164"/>
      <c r="C20" s="590"/>
      <c r="D20" s="1052"/>
      <c r="E20" s="1053"/>
      <c r="F20" s="1054"/>
      <c r="G20" s="1166"/>
      <c r="H20" s="1167"/>
      <c r="I20" s="1161"/>
      <c r="J20" s="1162"/>
      <c r="K20" s="1163"/>
      <c r="L20" s="1164"/>
      <c r="M20" s="1165"/>
      <c r="N20" s="1126"/>
      <c r="O20" s="1127"/>
    </row>
    <row r="21" spans="1:15" s="184" customFormat="1" ht="24.75" customHeight="1">
      <c r="A21" s="175">
        <v>7</v>
      </c>
      <c r="B21" s="164"/>
      <c r="C21" s="590"/>
      <c r="D21" s="1052"/>
      <c r="E21" s="1053"/>
      <c r="F21" s="1054"/>
      <c r="G21" s="1166"/>
      <c r="H21" s="1167"/>
      <c r="I21" s="1161"/>
      <c r="J21" s="1162"/>
      <c r="K21" s="1163"/>
      <c r="L21" s="1164"/>
      <c r="M21" s="1165"/>
      <c r="N21" s="1126"/>
      <c r="O21" s="1127"/>
    </row>
    <row r="22" spans="1:15" s="184" customFormat="1" ht="24.75" customHeight="1">
      <c r="A22" s="175">
        <v>8</v>
      </c>
      <c r="B22" s="164"/>
      <c r="C22" s="590"/>
      <c r="D22" s="1052"/>
      <c r="E22" s="1053"/>
      <c r="F22" s="1054"/>
      <c r="G22" s="1166"/>
      <c r="H22" s="1167"/>
      <c r="I22" s="1161"/>
      <c r="J22" s="1162"/>
      <c r="K22" s="1163"/>
      <c r="L22" s="1164"/>
      <c r="M22" s="1165"/>
      <c r="N22" s="1126"/>
      <c r="O22" s="1127"/>
    </row>
    <row r="23" spans="1:15" s="184" customFormat="1" ht="24.75" customHeight="1">
      <c r="A23" s="175">
        <v>9</v>
      </c>
      <c r="B23" s="164"/>
      <c r="C23" s="590"/>
      <c r="D23" s="1052"/>
      <c r="E23" s="1053"/>
      <c r="F23" s="1054"/>
      <c r="G23" s="1166"/>
      <c r="H23" s="1167"/>
      <c r="I23" s="1161"/>
      <c r="J23" s="1162"/>
      <c r="K23" s="1163"/>
      <c r="L23" s="1164"/>
      <c r="M23" s="1165"/>
      <c r="N23" s="1126"/>
      <c r="O23" s="1127"/>
    </row>
    <row r="24" spans="1:15" s="184" customFormat="1" ht="24.75" customHeight="1" thickBot="1">
      <c r="A24" s="176">
        <v>10</v>
      </c>
      <c r="B24" s="165"/>
      <c r="C24" s="165"/>
      <c r="D24" s="1032"/>
      <c r="E24" s="1033"/>
      <c r="F24" s="1034"/>
      <c r="G24" s="1139"/>
      <c r="H24" s="1140"/>
      <c r="I24" s="1156"/>
      <c r="J24" s="1157"/>
      <c r="K24" s="1158"/>
      <c r="L24" s="1159"/>
      <c r="M24" s="1160"/>
      <c r="N24" s="1132"/>
      <c r="O24" s="1133"/>
    </row>
    <row r="25" spans="1:15" s="184" customFormat="1" ht="24.75" customHeight="1">
      <c r="A25" s="177" t="s">
        <v>38</v>
      </c>
      <c r="B25" s="163"/>
      <c r="C25" s="163"/>
      <c r="D25" s="1146"/>
      <c r="E25" s="1147"/>
      <c r="F25" s="1148"/>
      <c r="G25" s="1149"/>
      <c r="H25" s="1150"/>
      <c r="I25" s="1151"/>
      <c r="J25" s="1152"/>
      <c r="K25" s="1153"/>
      <c r="L25" s="1154"/>
      <c r="M25" s="1155"/>
      <c r="N25" s="1082"/>
      <c r="O25" s="1083"/>
    </row>
    <row r="26" spans="1:15" s="184" customFormat="1" ht="24.75" customHeight="1" thickBot="1">
      <c r="A26" s="178" t="s">
        <v>39</v>
      </c>
      <c r="B26" s="165"/>
      <c r="C26" s="165"/>
      <c r="D26" s="1136"/>
      <c r="E26" s="1137"/>
      <c r="F26" s="1138"/>
      <c r="G26" s="1139"/>
      <c r="H26" s="1140"/>
      <c r="I26" s="1141"/>
      <c r="J26" s="1142"/>
      <c r="K26" s="1143"/>
      <c r="L26" s="1144"/>
      <c r="M26" s="1145"/>
      <c r="N26" s="1030"/>
      <c r="O26" s="1031"/>
    </row>
    <row r="27" spans="1:15" s="184" customFormat="1" ht="24.75" customHeight="1" thickBot="1">
      <c r="A27" s="386" t="s">
        <v>235</v>
      </c>
      <c r="B27" s="387"/>
      <c r="C27" s="387"/>
      <c r="D27" s="387"/>
      <c r="E27" s="387"/>
      <c r="F27" s="388"/>
      <c r="G27" s="389">
        <f>G65</f>
      </c>
      <c r="H27" s="218" t="s">
        <v>236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81" t="str">
        <f>Mannschaften!C146</f>
        <v>TV Segnitz</v>
      </c>
      <c r="E10" s="1081"/>
      <c r="F10" s="1081"/>
      <c r="G10" s="1081"/>
      <c r="H10" s="1081"/>
      <c r="I10" s="170"/>
      <c r="J10" s="1027"/>
      <c r="K10" s="1027"/>
      <c r="L10" s="1027"/>
      <c r="M10" s="1027"/>
      <c r="N10" s="1027"/>
      <c r="O10" s="1027"/>
    </row>
    <row r="11" s="184" customFormat="1" ht="6" customHeight="1"/>
    <row r="12" spans="6:14" s="184" customFormat="1" ht="18">
      <c r="F12" s="170" t="s">
        <v>149</v>
      </c>
      <c r="G12" s="168" t="str">
        <f>Mannschaften!K3</f>
        <v>m U18</v>
      </c>
      <c r="H12" s="170"/>
      <c r="I12" s="170" t="s">
        <v>129</v>
      </c>
      <c r="L12" s="172">
        <f>IF(Mannschaften!U3="","",Mannschaften!U3)</f>
      </c>
      <c r="M12" s="173">
        <f>IF(Mannschaften!X3="","",Mannschaften!X3)</f>
      </c>
      <c r="N12" s="170"/>
    </row>
    <row r="13" s="184" customFormat="1" ht="13.5" thickBot="1"/>
    <row r="14" spans="1:15" s="184" customFormat="1" ht="24.75" customHeight="1" thickBot="1">
      <c r="A14" s="497"/>
      <c r="B14" s="494" t="s">
        <v>105</v>
      </c>
      <c r="C14" s="494" t="s">
        <v>18</v>
      </c>
      <c r="D14" s="1022" t="s">
        <v>20</v>
      </c>
      <c r="E14" s="1022"/>
      <c r="F14" s="1022"/>
      <c r="G14" s="1022" t="s">
        <v>126</v>
      </c>
      <c r="H14" s="1022"/>
      <c r="I14" s="1022" t="s">
        <v>148</v>
      </c>
      <c r="J14" s="1022"/>
      <c r="K14" s="1022"/>
      <c r="L14" s="498" t="s">
        <v>127</v>
      </c>
      <c r="M14" s="498"/>
      <c r="N14" s="1022" t="s">
        <v>128</v>
      </c>
      <c r="O14" s="1022"/>
    </row>
    <row r="15" spans="1:15" s="184" customFormat="1" ht="24.75" customHeight="1">
      <c r="A15" s="174">
        <v>1</v>
      </c>
      <c r="B15" s="163"/>
      <c r="C15" s="591"/>
      <c r="D15" s="1084"/>
      <c r="E15" s="1085"/>
      <c r="F15" s="1086"/>
      <c r="G15" s="1089"/>
      <c r="H15" s="1090"/>
      <c r="I15" s="1091"/>
      <c r="J15" s="1092"/>
      <c r="K15" s="1093"/>
      <c r="L15" s="1087"/>
      <c r="M15" s="1088"/>
      <c r="N15" s="1082"/>
      <c r="O15" s="1083"/>
    </row>
    <row r="16" spans="1:15" s="184" customFormat="1" ht="24.75" customHeight="1">
      <c r="A16" s="175">
        <v>2</v>
      </c>
      <c r="B16" s="164"/>
      <c r="C16" s="590"/>
      <c r="D16" s="1052"/>
      <c r="E16" s="1053"/>
      <c r="F16" s="1054"/>
      <c r="G16" s="1055"/>
      <c r="H16" s="1056"/>
      <c r="I16" s="1078"/>
      <c r="J16" s="1079"/>
      <c r="K16" s="1080"/>
      <c r="L16" s="1060"/>
      <c r="M16" s="1061"/>
      <c r="N16" s="1068"/>
      <c r="O16" s="1059"/>
    </row>
    <row r="17" spans="1:15" s="184" customFormat="1" ht="24.75" customHeight="1">
      <c r="A17" s="175">
        <v>3</v>
      </c>
      <c r="B17" s="164"/>
      <c r="C17" s="590"/>
      <c r="D17" s="1052"/>
      <c r="E17" s="1053"/>
      <c r="F17" s="1054"/>
      <c r="G17" s="1055"/>
      <c r="H17" s="1056"/>
      <c r="I17" s="1078"/>
      <c r="J17" s="1079"/>
      <c r="K17" s="1080"/>
      <c r="L17" s="1060"/>
      <c r="M17" s="1061"/>
      <c r="N17" s="1068"/>
      <c r="O17" s="1059"/>
    </row>
    <row r="18" spans="1:15" s="184" customFormat="1" ht="24.75" customHeight="1">
      <c r="A18" s="175">
        <v>4</v>
      </c>
      <c r="B18" s="164"/>
      <c r="C18" s="590"/>
      <c r="D18" s="1052"/>
      <c r="E18" s="1053"/>
      <c r="F18" s="1054"/>
      <c r="G18" s="1055"/>
      <c r="H18" s="1056"/>
      <c r="I18" s="1078"/>
      <c r="J18" s="1079"/>
      <c r="K18" s="1080"/>
      <c r="L18" s="1060"/>
      <c r="M18" s="1061"/>
      <c r="N18" s="1068"/>
      <c r="O18" s="1059"/>
    </row>
    <row r="19" spans="1:15" s="184" customFormat="1" ht="24.75" customHeight="1">
      <c r="A19" s="175">
        <v>5</v>
      </c>
      <c r="B19" s="164"/>
      <c r="C19" s="590"/>
      <c r="D19" s="1052"/>
      <c r="E19" s="1053"/>
      <c r="F19" s="1054"/>
      <c r="G19" s="1055"/>
      <c r="H19" s="1056"/>
      <c r="I19" s="1078"/>
      <c r="J19" s="1079"/>
      <c r="K19" s="1080"/>
      <c r="L19" s="1060"/>
      <c r="M19" s="1061"/>
      <c r="N19" s="1068"/>
      <c r="O19" s="1059"/>
    </row>
    <row r="20" spans="1:15" s="184" customFormat="1" ht="24.75" customHeight="1">
      <c r="A20" s="175">
        <v>6</v>
      </c>
      <c r="B20" s="164"/>
      <c r="C20" s="590"/>
      <c r="D20" s="1052"/>
      <c r="E20" s="1053"/>
      <c r="F20" s="1054"/>
      <c r="G20" s="1055"/>
      <c r="H20" s="1056"/>
      <c r="I20" s="1078"/>
      <c r="J20" s="1079"/>
      <c r="K20" s="1080"/>
      <c r="L20" s="1060"/>
      <c r="M20" s="1061"/>
      <c r="N20" s="1068"/>
      <c r="O20" s="1059"/>
    </row>
    <row r="21" spans="1:15" s="184" customFormat="1" ht="24.75" customHeight="1">
      <c r="A21" s="175">
        <v>7</v>
      </c>
      <c r="B21" s="164"/>
      <c r="C21" s="590"/>
      <c r="D21" s="1052"/>
      <c r="E21" s="1053"/>
      <c r="F21" s="1054"/>
      <c r="G21" s="1055"/>
      <c r="H21" s="1056"/>
      <c r="I21" s="1078"/>
      <c r="J21" s="1079"/>
      <c r="K21" s="1080"/>
      <c r="L21" s="1060"/>
      <c r="M21" s="1061"/>
      <c r="N21" s="1068"/>
      <c r="O21" s="1059"/>
    </row>
    <row r="22" spans="1:15" s="184" customFormat="1" ht="24.75" customHeight="1">
      <c r="A22" s="175">
        <v>8</v>
      </c>
      <c r="B22" s="164"/>
      <c r="C22" s="590"/>
      <c r="D22" s="1052"/>
      <c r="E22" s="1053"/>
      <c r="F22" s="1054"/>
      <c r="G22" s="1055"/>
      <c r="H22" s="1056"/>
      <c r="I22" s="1078"/>
      <c r="J22" s="1079"/>
      <c r="K22" s="1080"/>
      <c r="L22" s="1060"/>
      <c r="M22" s="1061"/>
      <c r="N22" s="1068"/>
      <c r="O22" s="1059"/>
    </row>
    <row r="23" spans="1:15" s="184" customFormat="1" ht="24.75" customHeight="1">
      <c r="A23" s="175">
        <v>9</v>
      </c>
      <c r="B23" s="164"/>
      <c r="C23" s="164"/>
      <c r="D23" s="1052"/>
      <c r="E23" s="1053"/>
      <c r="F23" s="1054"/>
      <c r="G23" s="1110"/>
      <c r="H23" s="1110"/>
      <c r="I23" s="1108"/>
      <c r="J23" s="1108"/>
      <c r="K23" s="1108"/>
      <c r="L23" s="1181"/>
      <c r="M23" s="1181"/>
      <c r="N23" s="1068"/>
      <c r="O23" s="1059"/>
    </row>
    <row r="24" spans="1:15" s="184" customFormat="1" ht="24.75" customHeight="1" thickBot="1">
      <c r="A24" s="176">
        <v>10</v>
      </c>
      <c r="B24" s="165"/>
      <c r="C24" s="165"/>
      <c r="D24" s="1032"/>
      <c r="E24" s="1033"/>
      <c r="F24" s="1034"/>
      <c r="G24" s="1044"/>
      <c r="H24" s="1045"/>
      <c r="I24" s="1073"/>
      <c r="J24" s="1074"/>
      <c r="K24" s="1075"/>
      <c r="L24" s="1177"/>
      <c r="M24" s="1072"/>
      <c r="N24" s="1030"/>
      <c r="O24" s="1031"/>
    </row>
    <row r="25" spans="1:15" s="184" customFormat="1" ht="24.75" customHeight="1">
      <c r="A25" s="177" t="s">
        <v>38</v>
      </c>
      <c r="B25" s="163"/>
      <c r="C25" s="163"/>
      <c r="D25" s="1178"/>
      <c r="E25" s="1179"/>
      <c r="F25" s="1180"/>
      <c r="G25" s="1121"/>
      <c r="H25" s="1122"/>
      <c r="I25" s="1116"/>
      <c r="J25" s="1117"/>
      <c r="K25" s="1118"/>
      <c r="L25" s="1119"/>
      <c r="M25" s="1120"/>
      <c r="N25" s="1082"/>
      <c r="O25" s="1083"/>
    </row>
    <row r="26" spans="1:15" s="184" customFormat="1" ht="24.75" customHeight="1" thickBot="1">
      <c r="A26" s="178" t="s">
        <v>39</v>
      </c>
      <c r="B26" s="165"/>
      <c r="C26" s="165"/>
      <c r="D26" s="1123"/>
      <c r="E26" s="1124"/>
      <c r="F26" s="1125"/>
      <c r="G26" s="1044"/>
      <c r="H26" s="1045"/>
      <c r="I26" s="1073"/>
      <c r="J26" s="1074"/>
      <c r="K26" s="1075"/>
      <c r="L26" s="1177"/>
      <c r="M26" s="1072"/>
      <c r="N26" s="1030"/>
      <c r="O26" s="1031"/>
    </row>
    <row r="27" spans="1:15" s="184" customFormat="1" ht="24.75" customHeight="1" thickBot="1">
      <c r="A27" s="386" t="s">
        <v>235</v>
      </c>
      <c r="B27" s="387"/>
      <c r="C27" s="387"/>
      <c r="D27" s="387"/>
      <c r="E27" s="387"/>
      <c r="F27" s="388"/>
      <c r="G27" s="389">
        <f>G65</f>
      </c>
      <c r="H27" s="218" t="s">
        <v>236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25:F26">
    <cfRule type="expression" priority="28" dxfId="2" stopIfTrue="1">
      <formula>$O39&lt;0</formula>
    </cfRule>
    <cfRule type="expression" priority="29" dxfId="0" stopIfTrue="1">
      <formula>$K51=2</formula>
    </cfRule>
    <cfRule type="expression" priority="30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81" t="str">
        <f>Mannschaften!I146</f>
        <v>TV Hallerstein</v>
      </c>
      <c r="E10" s="1081"/>
      <c r="F10" s="1081"/>
      <c r="G10" s="1081"/>
      <c r="H10" s="1081"/>
      <c r="I10" s="170"/>
      <c r="J10" s="1027"/>
      <c r="K10" s="1027"/>
      <c r="L10" s="1027"/>
      <c r="M10" s="1027"/>
      <c r="N10" s="1027"/>
      <c r="O10" s="1027"/>
    </row>
    <row r="11" s="184" customFormat="1" ht="6" customHeight="1"/>
    <row r="12" spans="6:14" s="184" customFormat="1" ht="18">
      <c r="F12" s="170" t="s">
        <v>149</v>
      </c>
      <c r="G12" s="168" t="str">
        <f>Mannschaften!K3</f>
        <v>m U18</v>
      </c>
      <c r="H12" s="170"/>
      <c r="I12" s="170" t="s">
        <v>129</v>
      </c>
      <c r="L12" s="172">
        <f>IF(Mannschaften!U3="","",Mannschaften!U3)</f>
      </c>
      <c r="M12" s="173">
        <f>IF(Mannschaften!X3="","",Mannschaften!X3)</f>
      </c>
      <c r="N12" s="170"/>
    </row>
    <row r="13" s="184" customFormat="1" ht="13.5" thickBot="1"/>
    <row r="14" spans="1:15" s="184" customFormat="1" ht="24.75" customHeight="1" thickBot="1">
      <c r="A14" s="497"/>
      <c r="B14" s="494" t="s">
        <v>105</v>
      </c>
      <c r="C14" s="494" t="s">
        <v>18</v>
      </c>
      <c r="D14" s="1022" t="s">
        <v>20</v>
      </c>
      <c r="E14" s="1022"/>
      <c r="F14" s="1022"/>
      <c r="G14" s="1022" t="s">
        <v>126</v>
      </c>
      <c r="H14" s="1022"/>
      <c r="I14" s="1022" t="s">
        <v>148</v>
      </c>
      <c r="J14" s="1022"/>
      <c r="K14" s="1022"/>
      <c r="L14" s="498" t="s">
        <v>127</v>
      </c>
      <c r="M14" s="498"/>
      <c r="N14" s="1022" t="s">
        <v>128</v>
      </c>
      <c r="O14" s="1022"/>
    </row>
    <row r="15" spans="1:15" s="184" customFormat="1" ht="24.75" customHeight="1">
      <c r="A15" s="174">
        <v>1</v>
      </c>
      <c r="B15" s="163"/>
      <c r="C15" s="591"/>
      <c r="D15" s="1084"/>
      <c r="E15" s="1085"/>
      <c r="F15" s="1086"/>
      <c r="G15" s="1089"/>
      <c r="H15" s="1090"/>
      <c r="I15" s="1091"/>
      <c r="J15" s="1092"/>
      <c r="K15" s="1093"/>
      <c r="L15" s="1087"/>
      <c r="M15" s="1088"/>
      <c r="N15" s="1082"/>
      <c r="O15" s="1083"/>
    </row>
    <row r="16" spans="1:15" s="184" customFormat="1" ht="24.75" customHeight="1">
      <c r="A16" s="175">
        <v>2</v>
      </c>
      <c r="B16" s="164"/>
      <c r="C16" s="590"/>
      <c r="D16" s="1052"/>
      <c r="E16" s="1053"/>
      <c r="F16" s="1054"/>
      <c r="G16" s="1055"/>
      <c r="H16" s="1056"/>
      <c r="I16" s="1078"/>
      <c r="J16" s="1079"/>
      <c r="K16" s="1080"/>
      <c r="L16" s="1060"/>
      <c r="M16" s="1061"/>
      <c r="N16" s="1068"/>
      <c r="O16" s="1059"/>
    </row>
    <row r="17" spans="1:15" s="184" customFormat="1" ht="24.75" customHeight="1">
      <c r="A17" s="175">
        <v>3</v>
      </c>
      <c r="B17" s="164"/>
      <c r="C17" s="590"/>
      <c r="D17" s="1052"/>
      <c r="E17" s="1053"/>
      <c r="F17" s="1054"/>
      <c r="G17" s="1055"/>
      <c r="H17" s="1056"/>
      <c r="I17" s="1078"/>
      <c r="J17" s="1079"/>
      <c r="K17" s="1080"/>
      <c r="L17" s="1060"/>
      <c r="M17" s="1061"/>
      <c r="N17" s="1068"/>
      <c r="O17" s="1059"/>
    </row>
    <row r="18" spans="1:15" s="184" customFormat="1" ht="24.75" customHeight="1">
      <c r="A18" s="175">
        <v>4</v>
      </c>
      <c r="B18" s="164"/>
      <c r="C18" s="590"/>
      <c r="D18" s="1052"/>
      <c r="E18" s="1053"/>
      <c r="F18" s="1054"/>
      <c r="G18" s="1055"/>
      <c r="H18" s="1056"/>
      <c r="I18" s="1078"/>
      <c r="J18" s="1079"/>
      <c r="K18" s="1080"/>
      <c r="L18" s="1060"/>
      <c r="M18" s="1061"/>
      <c r="N18" s="1068"/>
      <c r="O18" s="1059"/>
    </row>
    <row r="19" spans="1:15" s="184" customFormat="1" ht="24.75" customHeight="1">
      <c r="A19" s="175">
        <v>5</v>
      </c>
      <c r="B19" s="164"/>
      <c r="C19" s="590"/>
      <c r="D19" s="1052"/>
      <c r="E19" s="1053"/>
      <c r="F19" s="1054"/>
      <c r="G19" s="1055"/>
      <c r="H19" s="1056"/>
      <c r="I19" s="1078"/>
      <c r="J19" s="1079"/>
      <c r="K19" s="1080"/>
      <c r="L19" s="1060"/>
      <c r="M19" s="1061"/>
      <c r="N19" s="1068"/>
      <c r="O19" s="1059"/>
    </row>
    <row r="20" spans="1:15" s="184" customFormat="1" ht="24.75" customHeight="1">
      <c r="A20" s="175">
        <v>6</v>
      </c>
      <c r="B20" s="164"/>
      <c r="C20" s="590"/>
      <c r="D20" s="1052"/>
      <c r="E20" s="1053"/>
      <c r="F20" s="1054"/>
      <c r="G20" s="1055"/>
      <c r="H20" s="1056"/>
      <c r="I20" s="1078"/>
      <c r="J20" s="1079"/>
      <c r="K20" s="1080"/>
      <c r="L20" s="1060"/>
      <c r="M20" s="1061"/>
      <c r="N20" s="1068"/>
      <c r="O20" s="1059"/>
    </row>
    <row r="21" spans="1:15" s="184" customFormat="1" ht="24.75" customHeight="1">
      <c r="A21" s="175">
        <v>7</v>
      </c>
      <c r="B21" s="164"/>
      <c r="C21" s="590"/>
      <c r="D21" s="1052"/>
      <c r="E21" s="1053"/>
      <c r="F21" s="1054"/>
      <c r="G21" s="1055"/>
      <c r="H21" s="1056"/>
      <c r="I21" s="1078"/>
      <c r="J21" s="1079"/>
      <c r="K21" s="1080"/>
      <c r="L21" s="1060"/>
      <c r="M21" s="1061"/>
      <c r="N21" s="1068"/>
      <c r="O21" s="1059"/>
    </row>
    <row r="22" spans="1:15" s="184" customFormat="1" ht="24.75" customHeight="1">
      <c r="A22" s="175">
        <v>8</v>
      </c>
      <c r="B22" s="164"/>
      <c r="C22" s="590"/>
      <c r="D22" s="1052"/>
      <c r="E22" s="1053"/>
      <c r="F22" s="1054"/>
      <c r="G22" s="1055"/>
      <c r="H22" s="1056"/>
      <c r="I22" s="1078"/>
      <c r="J22" s="1079"/>
      <c r="K22" s="1080"/>
      <c r="L22" s="1060"/>
      <c r="M22" s="1061"/>
      <c r="N22" s="1068"/>
      <c r="O22" s="1059"/>
    </row>
    <row r="23" spans="1:15" s="184" customFormat="1" ht="24.75" customHeight="1">
      <c r="A23" s="175">
        <v>9</v>
      </c>
      <c r="B23" s="164"/>
      <c r="C23" s="590"/>
      <c r="D23" s="1052"/>
      <c r="E23" s="1053"/>
      <c r="F23" s="1054"/>
      <c r="G23" s="1055"/>
      <c r="H23" s="1056"/>
      <c r="I23" s="1078"/>
      <c r="J23" s="1079"/>
      <c r="K23" s="1080"/>
      <c r="L23" s="1060"/>
      <c r="M23" s="1061"/>
      <c r="N23" s="1068"/>
      <c r="O23" s="1059"/>
    </row>
    <row r="24" spans="1:15" s="184" customFormat="1" ht="24.75" customHeight="1" thickBot="1">
      <c r="A24" s="176">
        <v>10</v>
      </c>
      <c r="B24" s="165"/>
      <c r="C24" s="592"/>
      <c r="D24" s="1032"/>
      <c r="E24" s="1033"/>
      <c r="F24" s="1034"/>
      <c r="G24" s="1182"/>
      <c r="H24" s="1183"/>
      <c r="I24" s="1184"/>
      <c r="J24" s="1185"/>
      <c r="K24" s="1186"/>
      <c r="L24" s="1187"/>
      <c r="M24" s="1188"/>
      <c r="N24" s="1030"/>
      <c r="O24" s="1031"/>
    </row>
    <row r="25" spans="1:15" s="184" customFormat="1" ht="24.75" customHeight="1">
      <c r="A25" s="177" t="s">
        <v>38</v>
      </c>
      <c r="B25" s="163"/>
      <c r="C25" s="163"/>
      <c r="D25" s="1038"/>
      <c r="E25" s="1039"/>
      <c r="F25" s="1040"/>
      <c r="G25" s="1069"/>
      <c r="H25" s="1070"/>
      <c r="I25" s="1035"/>
      <c r="J25" s="1036"/>
      <c r="K25" s="1037"/>
      <c r="L25" s="1076"/>
      <c r="M25" s="1077"/>
      <c r="N25" s="1066"/>
      <c r="O25" s="1067"/>
    </row>
    <row r="26" spans="1:15" s="184" customFormat="1" ht="24.75" customHeight="1" thickBot="1">
      <c r="A26" s="178" t="s">
        <v>39</v>
      </c>
      <c r="B26" s="165"/>
      <c r="C26" s="165"/>
      <c r="D26" s="1123"/>
      <c r="E26" s="1124"/>
      <c r="F26" s="1125"/>
      <c r="G26" s="1044"/>
      <c r="H26" s="1045"/>
      <c r="I26" s="1046"/>
      <c r="J26" s="1047"/>
      <c r="K26" s="1048"/>
      <c r="L26" s="1049"/>
      <c r="M26" s="1050"/>
      <c r="N26" s="1030"/>
      <c r="O26" s="1031"/>
    </row>
    <row r="27" spans="1:15" s="184" customFormat="1" ht="24.75" customHeight="1" thickBot="1">
      <c r="A27" s="508" t="s">
        <v>235</v>
      </c>
      <c r="B27" s="492"/>
      <c r="C27" s="492"/>
      <c r="D27" s="492"/>
      <c r="E27" s="492"/>
      <c r="F27" s="493"/>
      <c r="G27" s="509">
        <f>G65</f>
      </c>
      <c r="H27" s="510" t="s">
        <v>236</v>
      </c>
      <c r="I27" s="492"/>
      <c r="J27" s="492"/>
      <c r="K27" s="492"/>
      <c r="L27" s="492"/>
      <c r="M27" s="492"/>
      <c r="N27" s="492"/>
      <c r="O27" s="493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81" t="str">
        <f>Mannschaften!N146</f>
        <v>Ahlhorner SV</v>
      </c>
      <c r="E10" s="1081"/>
      <c r="F10" s="1081"/>
      <c r="G10" s="1081"/>
      <c r="H10" s="1081"/>
      <c r="I10" s="170"/>
      <c r="J10" s="1027"/>
      <c r="K10" s="1027"/>
      <c r="L10" s="1027"/>
      <c r="M10" s="1027"/>
      <c r="N10" s="1027"/>
      <c r="O10" s="1027"/>
    </row>
    <row r="11" s="184" customFormat="1" ht="6" customHeight="1"/>
    <row r="12" spans="6:14" s="184" customFormat="1" ht="18">
      <c r="F12" s="170" t="s">
        <v>149</v>
      </c>
      <c r="G12" s="168" t="str">
        <f>Mannschaften!K3</f>
        <v>m U18</v>
      </c>
      <c r="H12" s="170"/>
      <c r="I12" s="170" t="s">
        <v>129</v>
      </c>
      <c r="L12" s="172">
        <f>IF(Mannschaften!U3="","",Mannschaften!U3)</f>
      </c>
      <c r="M12" s="173">
        <f>IF(Mannschaften!X3="","",Mannschaften!X3)</f>
      </c>
      <c r="N12" s="170"/>
    </row>
    <row r="13" s="184" customFormat="1" ht="13.5" thickBot="1"/>
    <row r="14" spans="1:15" s="184" customFormat="1" ht="24.75" customHeight="1" thickBot="1">
      <c r="A14" s="497"/>
      <c r="B14" s="494" t="s">
        <v>105</v>
      </c>
      <c r="C14" s="494" t="s">
        <v>18</v>
      </c>
      <c r="D14" s="1022" t="s">
        <v>20</v>
      </c>
      <c r="E14" s="1022"/>
      <c r="F14" s="1022"/>
      <c r="G14" s="1022" t="s">
        <v>126</v>
      </c>
      <c r="H14" s="1022"/>
      <c r="I14" s="1022" t="s">
        <v>148</v>
      </c>
      <c r="J14" s="1022"/>
      <c r="K14" s="1022"/>
      <c r="L14" s="498" t="s">
        <v>127</v>
      </c>
      <c r="M14" s="498"/>
      <c r="N14" s="1022" t="s">
        <v>128</v>
      </c>
      <c r="O14" s="1022"/>
    </row>
    <row r="15" spans="1:15" ht="24.75" customHeight="1">
      <c r="A15" s="174">
        <v>1</v>
      </c>
      <c r="B15" s="163"/>
      <c r="C15" s="593"/>
      <c r="D15" s="1084"/>
      <c r="E15" s="1085"/>
      <c r="F15" s="1086"/>
      <c r="G15" s="1196"/>
      <c r="H15" s="1196"/>
      <c r="I15" s="1197"/>
      <c r="J15" s="1197"/>
      <c r="K15" s="1197"/>
      <c r="L15" s="1195"/>
      <c r="M15" s="1195"/>
      <c r="N15" s="1099"/>
      <c r="O15" s="1099"/>
    </row>
    <row r="16" spans="1:15" ht="24.75" customHeight="1">
      <c r="A16" s="175">
        <v>2</v>
      </c>
      <c r="B16" s="164"/>
      <c r="C16" s="594"/>
      <c r="D16" s="1052"/>
      <c r="E16" s="1053"/>
      <c r="F16" s="1054"/>
      <c r="G16" s="1193"/>
      <c r="H16" s="1193"/>
      <c r="I16" s="1194"/>
      <c r="J16" s="1194"/>
      <c r="K16" s="1194"/>
      <c r="L16" s="1192"/>
      <c r="M16" s="1192"/>
      <c r="N16" s="1105"/>
      <c r="O16" s="1105"/>
    </row>
    <row r="17" spans="1:15" ht="24.75" customHeight="1">
      <c r="A17" s="175">
        <v>3</v>
      </c>
      <c r="B17" s="164"/>
      <c r="C17" s="594"/>
      <c r="D17" s="1052"/>
      <c r="E17" s="1053"/>
      <c r="F17" s="1054"/>
      <c r="G17" s="1193"/>
      <c r="H17" s="1193"/>
      <c r="I17" s="1194"/>
      <c r="J17" s="1194"/>
      <c r="K17" s="1194"/>
      <c r="L17" s="1192"/>
      <c r="M17" s="1192"/>
      <c r="N17" s="1105"/>
      <c r="O17" s="1105"/>
    </row>
    <row r="18" spans="1:15" ht="24.75" customHeight="1">
      <c r="A18" s="175">
        <v>4</v>
      </c>
      <c r="B18" s="164"/>
      <c r="C18" s="594"/>
      <c r="D18" s="1052"/>
      <c r="E18" s="1053"/>
      <c r="F18" s="1054"/>
      <c r="G18" s="1193"/>
      <c r="H18" s="1193"/>
      <c r="I18" s="1194"/>
      <c r="J18" s="1194"/>
      <c r="K18" s="1194"/>
      <c r="L18" s="1192"/>
      <c r="M18" s="1192"/>
      <c r="N18" s="1105"/>
      <c r="O18" s="1105"/>
    </row>
    <row r="19" spans="1:15" ht="24.75" customHeight="1">
      <c r="A19" s="175">
        <v>5</v>
      </c>
      <c r="B19" s="164"/>
      <c r="C19" s="594"/>
      <c r="D19" s="1052"/>
      <c r="E19" s="1053"/>
      <c r="F19" s="1054"/>
      <c r="G19" s="1193"/>
      <c r="H19" s="1193"/>
      <c r="I19" s="1194"/>
      <c r="J19" s="1194"/>
      <c r="K19" s="1194"/>
      <c r="L19" s="1192"/>
      <c r="M19" s="1192"/>
      <c r="N19" s="1105"/>
      <c r="O19" s="1105"/>
    </row>
    <row r="20" spans="1:15" ht="24.75" customHeight="1">
      <c r="A20" s="175">
        <v>6</v>
      </c>
      <c r="B20" s="164"/>
      <c r="C20" s="594"/>
      <c r="D20" s="1052"/>
      <c r="E20" s="1053"/>
      <c r="F20" s="1054"/>
      <c r="G20" s="1193"/>
      <c r="H20" s="1193"/>
      <c r="I20" s="1194"/>
      <c r="J20" s="1194"/>
      <c r="K20" s="1194"/>
      <c r="L20" s="1192"/>
      <c r="M20" s="1192"/>
      <c r="N20" s="1105"/>
      <c r="O20" s="1105"/>
    </row>
    <row r="21" spans="1:15" ht="24.75" customHeight="1">
      <c r="A21" s="175">
        <v>7</v>
      </c>
      <c r="B21" s="164"/>
      <c r="C21" s="594"/>
      <c r="D21" s="1052"/>
      <c r="E21" s="1053"/>
      <c r="F21" s="1054"/>
      <c r="G21" s="1193"/>
      <c r="H21" s="1193"/>
      <c r="I21" s="1194"/>
      <c r="J21" s="1194"/>
      <c r="K21" s="1194"/>
      <c r="L21" s="1192"/>
      <c r="M21" s="1192"/>
      <c r="N21" s="1105"/>
      <c r="O21" s="1105"/>
    </row>
    <row r="22" spans="1:15" ht="24.75" customHeight="1">
      <c r="A22" s="175">
        <v>8</v>
      </c>
      <c r="B22" s="164"/>
      <c r="C22" s="437"/>
      <c r="D22" s="1052"/>
      <c r="E22" s="1053"/>
      <c r="F22" s="1054"/>
      <c r="G22" s="1110"/>
      <c r="H22" s="1110"/>
      <c r="I22" s="1108"/>
      <c r="J22" s="1108"/>
      <c r="K22" s="1108"/>
      <c r="L22" s="1109"/>
      <c r="M22" s="1109"/>
      <c r="N22" s="1105"/>
      <c r="O22" s="1105"/>
    </row>
    <row r="23" spans="1:15" ht="24.75" customHeight="1">
      <c r="A23" s="175">
        <v>9</v>
      </c>
      <c r="B23" s="164"/>
      <c r="C23" s="437"/>
      <c r="D23" s="1052"/>
      <c r="E23" s="1053"/>
      <c r="F23" s="1054"/>
      <c r="G23" s="1110"/>
      <c r="H23" s="1110"/>
      <c r="I23" s="1108"/>
      <c r="J23" s="1108"/>
      <c r="K23" s="1108"/>
      <c r="L23" s="1109"/>
      <c r="M23" s="1109"/>
      <c r="N23" s="1105"/>
      <c r="O23" s="1105"/>
    </row>
    <row r="24" spans="1:15" ht="24.75" customHeight="1" thickBot="1">
      <c r="A24" s="176">
        <v>10</v>
      </c>
      <c r="B24" s="165"/>
      <c r="C24" s="491"/>
      <c r="D24" s="1032"/>
      <c r="E24" s="1033"/>
      <c r="F24" s="1034"/>
      <c r="G24" s="1096"/>
      <c r="H24" s="1096"/>
      <c r="I24" s="1106"/>
      <c r="J24" s="1106"/>
      <c r="K24" s="1106"/>
      <c r="L24" s="1107"/>
      <c r="M24" s="1107"/>
      <c r="N24" s="1100"/>
      <c r="O24" s="1100"/>
    </row>
    <row r="25" spans="1:15" ht="24.75" customHeight="1">
      <c r="A25" s="496" t="s">
        <v>38</v>
      </c>
      <c r="B25" s="495"/>
      <c r="C25" s="495"/>
      <c r="D25" s="1189"/>
      <c r="E25" s="1190"/>
      <c r="F25" s="1191"/>
      <c r="G25" s="1069"/>
      <c r="H25" s="1070"/>
      <c r="I25" s="1035"/>
      <c r="J25" s="1036"/>
      <c r="K25" s="1037"/>
      <c r="L25" s="1076"/>
      <c r="M25" s="1077"/>
      <c r="N25" s="1066"/>
      <c r="O25" s="1067"/>
    </row>
    <row r="26" spans="1:15" ht="24.75" customHeight="1" thickBot="1">
      <c r="A26" s="178" t="s">
        <v>39</v>
      </c>
      <c r="B26" s="165"/>
      <c r="C26" s="165"/>
      <c r="D26" s="1123"/>
      <c r="E26" s="1124"/>
      <c r="F26" s="1125"/>
      <c r="G26" s="1044"/>
      <c r="H26" s="1045"/>
      <c r="I26" s="1046"/>
      <c r="J26" s="1047"/>
      <c r="K26" s="1048"/>
      <c r="L26" s="1049"/>
      <c r="M26" s="1050"/>
      <c r="N26" s="1030"/>
      <c r="O26" s="1031"/>
    </row>
    <row r="27" spans="1:15" ht="24.75" customHeight="1" thickBot="1">
      <c r="A27" s="211" t="s">
        <v>235</v>
      </c>
      <c r="B27" s="212"/>
      <c r="C27" s="212"/>
      <c r="D27" s="212"/>
      <c r="E27" s="212"/>
      <c r="F27" s="213"/>
      <c r="G27" s="214">
        <f>G65</f>
      </c>
      <c r="H27" s="215" t="s">
        <v>236</v>
      </c>
      <c r="I27" s="212"/>
      <c r="J27" s="212"/>
      <c r="K27" s="212"/>
      <c r="L27" s="212"/>
      <c r="M27" s="212"/>
      <c r="N27" s="212"/>
      <c r="O27" s="213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I14:K14"/>
    <mergeCell ref="E1:M1"/>
    <mergeCell ref="E2:M2"/>
    <mergeCell ref="E4:H4"/>
    <mergeCell ref="A8:O8"/>
    <mergeCell ref="D10:H10"/>
    <mergeCell ref="J10:O10"/>
    <mergeCell ref="N14:O14"/>
    <mergeCell ref="D14:F14"/>
    <mergeCell ref="G14:H14"/>
    <mergeCell ref="N15:O15"/>
    <mergeCell ref="L16:M16"/>
    <mergeCell ref="N16:O16"/>
    <mergeCell ref="L15:M15"/>
    <mergeCell ref="D15:F15"/>
    <mergeCell ref="G15:H15"/>
    <mergeCell ref="I15:K15"/>
    <mergeCell ref="D17:F17"/>
    <mergeCell ref="G17:H17"/>
    <mergeCell ref="I17:K17"/>
    <mergeCell ref="N17:O17"/>
    <mergeCell ref="L17:M17"/>
    <mergeCell ref="D16:F16"/>
    <mergeCell ref="G16:H16"/>
    <mergeCell ref="I16:K16"/>
    <mergeCell ref="D18:F18"/>
    <mergeCell ref="G18:H18"/>
    <mergeCell ref="I18:K18"/>
    <mergeCell ref="N19:O19"/>
    <mergeCell ref="L18:M18"/>
    <mergeCell ref="N18:O18"/>
    <mergeCell ref="L20:M20"/>
    <mergeCell ref="N20:O20"/>
    <mergeCell ref="L19:M19"/>
    <mergeCell ref="D19:F19"/>
    <mergeCell ref="G19:H19"/>
    <mergeCell ref="I19:K19"/>
    <mergeCell ref="D20:F20"/>
    <mergeCell ref="G20:H20"/>
    <mergeCell ref="I20:K20"/>
    <mergeCell ref="N21:O21"/>
    <mergeCell ref="D22:F22"/>
    <mergeCell ref="G22:H22"/>
    <mergeCell ref="I22:K22"/>
    <mergeCell ref="L22:M22"/>
    <mergeCell ref="N22:O22"/>
    <mergeCell ref="L21:M21"/>
    <mergeCell ref="D21:F21"/>
    <mergeCell ref="G21:H21"/>
    <mergeCell ref="I21:K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25:F25">
    <cfRule type="expression" priority="16" dxfId="49" stopIfTrue="1">
      <formula>'Spielereinsatzliste B3'!#REF!=2</formula>
    </cfRule>
    <cfRule type="expression" priority="17" dxfId="13" stopIfTrue="1">
      <formula>'Spielereinsatzliste B3'!#REF!=2</formula>
    </cfRule>
    <cfRule type="expression" priority="18" dxfId="12" stopIfTrue="1">
      <formula>'Spielereinsatzliste B3'!#REF!&lt;0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 customHeight="1">
      <c r="A10" s="170" t="s">
        <v>13</v>
      </c>
      <c r="B10" s="170"/>
      <c r="C10" s="170"/>
      <c r="D10" s="1081" t="str">
        <f>Mannschaften!S146</f>
        <v>TV Brettorf</v>
      </c>
      <c r="E10" s="1081"/>
      <c r="F10" s="1081"/>
      <c r="G10" s="1081"/>
      <c r="H10" s="1081"/>
      <c r="I10" s="170"/>
      <c r="J10" s="1027"/>
      <c r="K10" s="1027"/>
      <c r="L10" s="1027"/>
      <c r="M10" s="1027"/>
      <c r="N10" s="1027"/>
      <c r="O10" s="1027"/>
    </row>
    <row r="11" s="184" customFormat="1" ht="6" customHeight="1"/>
    <row r="12" spans="6:14" s="184" customFormat="1" ht="18">
      <c r="F12" s="170" t="s">
        <v>149</v>
      </c>
      <c r="G12" s="168" t="str">
        <f>Mannschaften!K3</f>
        <v>m U18</v>
      </c>
      <c r="H12" s="170"/>
      <c r="I12" s="170" t="s">
        <v>129</v>
      </c>
      <c r="L12" s="172">
        <f>IF(Mannschaften!U3="","",Mannschaften!U3)</f>
      </c>
      <c r="M12" s="173">
        <f>IF(Mannschaften!X3="","",Mannschaften!X3)</f>
      </c>
      <c r="N12" s="170"/>
    </row>
    <row r="13" s="184" customFormat="1" ht="13.5" thickBot="1"/>
    <row r="14" spans="1:15" s="184" customFormat="1" ht="24.75" customHeight="1" thickBot="1">
      <c r="A14" s="497"/>
      <c r="B14" s="494" t="s">
        <v>105</v>
      </c>
      <c r="C14" s="494" t="s">
        <v>18</v>
      </c>
      <c r="D14" s="1022" t="s">
        <v>20</v>
      </c>
      <c r="E14" s="1022"/>
      <c r="F14" s="1022"/>
      <c r="G14" s="1022" t="s">
        <v>126</v>
      </c>
      <c r="H14" s="1022"/>
      <c r="I14" s="1022" t="s">
        <v>148</v>
      </c>
      <c r="J14" s="1022"/>
      <c r="K14" s="1022"/>
      <c r="L14" s="498" t="s">
        <v>127</v>
      </c>
      <c r="M14" s="498"/>
      <c r="N14" s="1022" t="s">
        <v>128</v>
      </c>
      <c r="O14" s="1022"/>
    </row>
    <row r="15" spans="1:15" s="184" customFormat="1" ht="24.75" customHeight="1">
      <c r="A15" s="174">
        <v>1</v>
      </c>
      <c r="B15" s="163"/>
      <c r="C15" s="589"/>
      <c r="D15" s="1084"/>
      <c r="E15" s="1085"/>
      <c r="F15" s="1086"/>
      <c r="G15" s="1205"/>
      <c r="H15" s="1206"/>
      <c r="I15" s="1207"/>
      <c r="J15" s="1208"/>
      <c r="K15" s="1209"/>
      <c r="L15" s="1210"/>
      <c r="M15" s="1211"/>
      <c r="N15" s="1082"/>
      <c r="O15" s="1083"/>
    </row>
    <row r="16" spans="1:15" s="184" customFormat="1" ht="24.75" customHeight="1">
      <c r="A16" s="175">
        <v>2</v>
      </c>
      <c r="B16" s="164"/>
      <c r="C16" s="595"/>
      <c r="D16" s="1052"/>
      <c r="E16" s="1053"/>
      <c r="F16" s="1054"/>
      <c r="G16" s="1203"/>
      <c r="H16" s="1204"/>
      <c r="I16" s="1161"/>
      <c r="J16" s="1162"/>
      <c r="K16" s="1163"/>
      <c r="L16" s="1164"/>
      <c r="M16" s="1165"/>
      <c r="N16" s="1068"/>
      <c r="O16" s="1059"/>
    </row>
    <row r="17" spans="1:15" s="184" customFormat="1" ht="24.75" customHeight="1">
      <c r="A17" s="175">
        <v>3</v>
      </c>
      <c r="B17" s="164"/>
      <c r="C17" s="595"/>
      <c r="D17" s="1052"/>
      <c r="E17" s="1053"/>
      <c r="F17" s="1054"/>
      <c r="G17" s="1203"/>
      <c r="H17" s="1204"/>
      <c r="I17" s="1161"/>
      <c r="J17" s="1162"/>
      <c r="K17" s="1163"/>
      <c r="L17" s="1164"/>
      <c r="M17" s="1165"/>
      <c r="N17" s="1068"/>
      <c r="O17" s="1059"/>
    </row>
    <row r="18" spans="1:15" s="184" customFormat="1" ht="24.75" customHeight="1">
      <c r="A18" s="175">
        <v>4</v>
      </c>
      <c r="B18" s="164"/>
      <c r="C18" s="595"/>
      <c r="D18" s="1052"/>
      <c r="E18" s="1053"/>
      <c r="F18" s="1054"/>
      <c r="G18" s="1203"/>
      <c r="H18" s="1204"/>
      <c r="I18" s="1161"/>
      <c r="J18" s="1162"/>
      <c r="K18" s="1163"/>
      <c r="L18" s="1164"/>
      <c r="M18" s="1165"/>
      <c r="N18" s="1068"/>
      <c r="O18" s="1059"/>
    </row>
    <row r="19" spans="1:15" s="184" customFormat="1" ht="24.75" customHeight="1">
      <c r="A19" s="175">
        <v>5</v>
      </c>
      <c r="B19" s="164"/>
      <c r="C19" s="595"/>
      <c r="D19" s="1052"/>
      <c r="E19" s="1053"/>
      <c r="F19" s="1054"/>
      <c r="G19" s="1203"/>
      <c r="H19" s="1204"/>
      <c r="I19" s="1161"/>
      <c r="J19" s="1162"/>
      <c r="K19" s="1163"/>
      <c r="L19" s="1164"/>
      <c r="M19" s="1165"/>
      <c r="N19" s="1068"/>
      <c r="O19" s="1059"/>
    </row>
    <row r="20" spans="1:15" s="184" customFormat="1" ht="24.75" customHeight="1">
      <c r="A20" s="175">
        <v>6</v>
      </c>
      <c r="B20" s="164"/>
      <c r="C20" s="595"/>
      <c r="D20" s="1052"/>
      <c r="E20" s="1053"/>
      <c r="F20" s="1054"/>
      <c r="G20" s="1203"/>
      <c r="H20" s="1204"/>
      <c r="I20" s="1161"/>
      <c r="J20" s="1162"/>
      <c r="K20" s="1163"/>
      <c r="L20" s="1164"/>
      <c r="M20" s="1165"/>
      <c r="N20" s="1068"/>
      <c r="O20" s="1059"/>
    </row>
    <row r="21" spans="1:15" s="184" customFormat="1" ht="24.75" customHeight="1">
      <c r="A21" s="175">
        <v>7</v>
      </c>
      <c r="B21" s="164"/>
      <c r="C21" s="164"/>
      <c r="D21" s="1052"/>
      <c r="E21" s="1053"/>
      <c r="F21" s="1054"/>
      <c r="G21" s="1064"/>
      <c r="H21" s="1065"/>
      <c r="I21" s="1111"/>
      <c r="J21" s="1112"/>
      <c r="K21" s="1113"/>
      <c r="L21" s="1114"/>
      <c r="M21" s="1115"/>
      <c r="N21" s="1068"/>
      <c r="O21" s="1059"/>
    </row>
    <row r="22" spans="1:15" s="184" customFormat="1" ht="24.75" customHeight="1">
      <c r="A22" s="175">
        <v>8</v>
      </c>
      <c r="B22" s="164"/>
      <c r="C22" s="164"/>
      <c r="D22" s="1052"/>
      <c r="E22" s="1053"/>
      <c r="F22" s="1054"/>
      <c r="G22" s="1064"/>
      <c r="H22" s="1065"/>
      <c r="I22" s="1111"/>
      <c r="J22" s="1112"/>
      <c r="K22" s="1113"/>
      <c r="L22" s="1114"/>
      <c r="M22" s="1115"/>
      <c r="N22" s="1068"/>
      <c r="O22" s="1059"/>
    </row>
    <row r="23" spans="1:15" s="184" customFormat="1" ht="24.75" customHeight="1">
      <c r="A23" s="175">
        <v>9</v>
      </c>
      <c r="B23" s="164"/>
      <c r="C23" s="164"/>
      <c r="D23" s="1052"/>
      <c r="E23" s="1053"/>
      <c r="F23" s="1054"/>
      <c r="G23" s="1064"/>
      <c r="H23" s="1065"/>
      <c r="I23" s="1111"/>
      <c r="J23" s="1112"/>
      <c r="K23" s="1113"/>
      <c r="L23" s="1114"/>
      <c r="M23" s="1115"/>
      <c r="N23" s="1068"/>
      <c r="O23" s="1059"/>
    </row>
    <row r="24" spans="1:15" s="184" customFormat="1" ht="24.75" customHeight="1" thickBot="1">
      <c r="A24" s="176">
        <v>10</v>
      </c>
      <c r="B24" s="165"/>
      <c r="C24" s="165"/>
      <c r="D24" s="1032"/>
      <c r="E24" s="1033"/>
      <c r="F24" s="1034"/>
      <c r="G24" s="1044"/>
      <c r="H24" s="1045"/>
      <c r="I24" s="1073"/>
      <c r="J24" s="1074"/>
      <c r="K24" s="1075"/>
      <c r="L24" s="1177"/>
      <c r="M24" s="1072"/>
      <c r="N24" s="1030"/>
      <c r="O24" s="1031"/>
    </row>
    <row r="25" spans="1:15" s="184" customFormat="1" ht="24.75" customHeight="1">
      <c r="A25" s="177" t="s">
        <v>38</v>
      </c>
      <c r="B25" s="163"/>
      <c r="C25" s="163"/>
      <c r="D25" s="1178"/>
      <c r="E25" s="1179"/>
      <c r="F25" s="1180"/>
      <c r="G25" s="1121"/>
      <c r="H25" s="1122"/>
      <c r="I25" s="1198"/>
      <c r="J25" s="1199"/>
      <c r="K25" s="1200"/>
      <c r="L25" s="1201"/>
      <c r="M25" s="1202"/>
      <c r="N25" s="1082"/>
      <c r="O25" s="1083"/>
    </row>
    <row r="26" spans="1:15" s="184" customFormat="1" ht="24.75" customHeight="1" thickBot="1">
      <c r="A26" s="178" t="s">
        <v>39</v>
      </c>
      <c r="B26" s="165"/>
      <c r="C26" s="165"/>
      <c r="D26" s="1123"/>
      <c r="E26" s="1124"/>
      <c r="F26" s="1125"/>
      <c r="G26" s="1044"/>
      <c r="H26" s="1045"/>
      <c r="I26" s="1046"/>
      <c r="J26" s="1047"/>
      <c r="K26" s="1048"/>
      <c r="L26" s="1049"/>
      <c r="M26" s="1050"/>
      <c r="N26" s="1030"/>
      <c r="O26" s="1031"/>
    </row>
    <row r="27" spans="1:15" s="184" customFormat="1" ht="24.75" customHeight="1" thickBot="1">
      <c r="A27" s="508" t="s">
        <v>235</v>
      </c>
      <c r="B27" s="492"/>
      <c r="C27" s="492"/>
      <c r="D27" s="492"/>
      <c r="E27" s="492"/>
      <c r="F27" s="493"/>
      <c r="G27" s="509">
        <f>G65</f>
      </c>
      <c r="H27" s="510" t="s">
        <v>236</v>
      </c>
      <c r="I27" s="492"/>
      <c r="J27" s="492"/>
      <c r="K27" s="492"/>
      <c r="L27" s="492"/>
      <c r="M27" s="492"/>
      <c r="N27" s="492"/>
      <c r="O27" s="493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4" dxfId="2" stopIfTrue="1">
      <formula>$O29&lt;0</formula>
    </cfRule>
    <cfRule type="expression" priority="5" dxfId="0" stopIfTrue="1">
      <formula>$K41=2</formula>
    </cfRule>
    <cfRule type="expression" priority="6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 customHeight="1">
      <c r="A10" s="170" t="s">
        <v>13</v>
      </c>
      <c r="B10" s="170"/>
      <c r="C10" s="170"/>
      <c r="D10" s="1081" t="str">
        <f>Mannschaften!X146</f>
        <v>TSV Lola</v>
      </c>
      <c r="E10" s="1081"/>
      <c r="F10" s="1081"/>
      <c r="G10" s="1081"/>
      <c r="H10" s="1081"/>
      <c r="I10" s="170"/>
      <c r="J10" s="1027"/>
      <c r="K10" s="1027"/>
      <c r="L10" s="1027"/>
      <c r="M10" s="1027"/>
      <c r="N10" s="1027"/>
      <c r="O10" s="1027"/>
    </row>
    <row r="11" s="184" customFormat="1" ht="6" customHeight="1"/>
    <row r="12" spans="6:14" s="184" customFormat="1" ht="18">
      <c r="F12" s="170" t="s">
        <v>149</v>
      </c>
      <c r="G12" s="168" t="str">
        <f>Mannschaften!K3</f>
        <v>m U18</v>
      </c>
      <c r="H12" s="170"/>
      <c r="I12" s="170" t="s">
        <v>129</v>
      </c>
      <c r="L12" s="172">
        <f>IF(Mannschaften!U3="","",Mannschaften!U3)</f>
      </c>
      <c r="M12" s="173">
        <f>IF(Mannschaften!X3="","",Mannschaften!X3)</f>
      </c>
      <c r="N12" s="170"/>
    </row>
    <row r="13" s="184" customFormat="1" ht="13.5" thickBot="1"/>
    <row r="14" spans="1:15" s="184" customFormat="1" ht="24.75" customHeight="1" thickBot="1">
      <c r="A14" s="497"/>
      <c r="B14" s="494" t="s">
        <v>105</v>
      </c>
      <c r="C14" s="494" t="s">
        <v>18</v>
      </c>
      <c r="D14" s="1022" t="s">
        <v>20</v>
      </c>
      <c r="E14" s="1022"/>
      <c r="F14" s="1022"/>
      <c r="G14" s="1022" t="s">
        <v>126</v>
      </c>
      <c r="H14" s="1022"/>
      <c r="I14" s="1022" t="s">
        <v>148</v>
      </c>
      <c r="J14" s="1022"/>
      <c r="K14" s="1022"/>
      <c r="L14" s="498" t="s">
        <v>127</v>
      </c>
      <c r="M14" s="498"/>
      <c r="N14" s="1022" t="s">
        <v>128</v>
      </c>
      <c r="O14" s="1022"/>
    </row>
    <row r="15" spans="1:15" s="184" customFormat="1" ht="24.75" customHeight="1">
      <c r="A15" s="174">
        <v>1</v>
      </c>
      <c r="B15" s="163"/>
      <c r="C15" s="596"/>
      <c r="D15" s="1084"/>
      <c r="E15" s="1085"/>
      <c r="F15" s="1086"/>
      <c r="G15" s="1225"/>
      <c r="H15" s="1226"/>
      <c r="I15" s="1227"/>
      <c r="J15" s="1228"/>
      <c r="K15" s="1229"/>
      <c r="L15" s="1227"/>
      <c r="M15" s="1229"/>
      <c r="N15" s="1230"/>
      <c r="O15" s="1083"/>
    </row>
    <row r="16" spans="1:15" s="184" customFormat="1" ht="24.75" customHeight="1">
      <c r="A16" s="175">
        <v>2</v>
      </c>
      <c r="B16" s="164"/>
      <c r="C16" s="597"/>
      <c r="D16" s="1052"/>
      <c r="E16" s="1053"/>
      <c r="F16" s="1054"/>
      <c r="G16" s="1220"/>
      <c r="H16" s="1221"/>
      <c r="I16" s="1222"/>
      <c r="J16" s="1223"/>
      <c r="K16" s="1224"/>
      <c r="L16" s="1222"/>
      <c r="M16" s="1224"/>
      <c r="N16" s="1058"/>
      <c r="O16" s="1059"/>
    </row>
    <row r="17" spans="1:15" s="184" customFormat="1" ht="24.75" customHeight="1">
      <c r="A17" s="175">
        <v>3</v>
      </c>
      <c r="B17" s="164"/>
      <c r="C17" s="597"/>
      <c r="D17" s="1052"/>
      <c r="E17" s="1053"/>
      <c r="F17" s="1054"/>
      <c r="G17" s="1220"/>
      <c r="H17" s="1221"/>
      <c r="I17" s="1222"/>
      <c r="J17" s="1223"/>
      <c r="K17" s="1224"/>
      <c r="L17" s="1222"/>
      <c r="M17" s="1224"/>
      <c r="N17" s="1058"/>
      <c r="O17" s="1059"/>
    </row>
    <row r="18" spans="1:15" s="184" customFormat="1" ht="24.75" customHeight="1">
      <c r="A18" s="175">
        <v>4</v>
      </c>
      <c r="B18" s="164"/>
      <c r="C18" s="597"/>
      <c r="D18" s="1052"/>
      <c r="E18" s="1053"/>
      <c r="F18" s="1054"/>
      <c r="G18" s="1220"/>
      <c r="H18" s="1221"/>
      <c r="I18" s="1222"/>
      <c r="J18" s="1223"/>
      <c r="K18" s="1224"/>
      <c r="L18" s="1222"/>
      <c r="M18" s="1224"/>
      <c r="N18" s="1058"/>
      <c r="O18" s="1059"/>
    </row>
    <row r="19" spans="1:15" s="184" customFormat="1" ht="24.75" customHeight="1">
      <c r="A19" s="175">
        <v>5</v>
      </c>
      <c r="B19" s="164"/>
      <c r="C19" s="597"/>
      <c r="D19" s="1052"/>
      <c r="E19" s="1053"/>
      <c r="F19" s="1054"/>
      <c r="G19" s="1220"/>
      <c r="H19" s="1221"/>
      <c r="I19" s="1222"/>
      <c r="J19" s="1223"/>
      <c r="K19" s="1224"/>
      <c r="L19" s="1222"/>
      <c r="M19" s="1224"/>
      <c r="N19" s="1058"/>
      <c r="O19" s="1059"/>
    </row>
    <row r="20" spans="1:15" s="184" customFormat="1" ht="24.75" customHeight="1">
      <c r="A20" s="175">
        <v>6</v>
      </c>
      <c r="B20" s="164"/>
      <c r="C20" s="597"/>
      <c r="D20" s="1052"/>
      <c r="E20" s="1053"/>
      <c r="F20" s="1054"/>
      <c r="G20" s="1220"/>
      <c r="H20" s="1221"/>
      <c r="I20" s="1222"/>
      <c r="J20" s="1223"/>
      <c r="K20" s="1224"/>
      <c r="L20" s="1222"/>
      <c r="M20" s="1224"/>
      <c r="N20" s="1058"/>
      <c r="O20" s="1059"/>
    </row>
    <row r="21" spans="1:15" s="184" customFormat="1" ht="24.75" customHeight="1">
      <c r="A21" s="175">
        <v>7</v>
      </c>
      <c r="B21" s="164"/>
      <c r="C21" s="597"/>
      <c r="D21" s="1052"/>
      <c r="E21" s="1053"/>
      <c r="F21" s="1054"/>
      <c r="G21" s="1220"/>
      <c r="H21" s="1221"/>
      <c r="I21" s="1222"/>
      <c r="J21" s="1223"/>
      <c r="K21" s="1224"/>
      <c r="L21" s="1222"/>
      <c r="M21" s="1224"/>
      <c r="N21" s="1058"/>
      <c r="O21" s="1059"/>
    </row>
    <row r="22" spans="1:15" s="184" customFormat="1" ht="24.75" customHeight="1">
      <c r="A22" s="175">
        <v>8</v>
      </c>
      <c r="B22" s="164"/>
      <c r="C22" s="597"/>
      <c r="D22" s="1052"/>
      <c r="E22" s="1053"/>
      <c r="F22" s="1054"/>
      <c r="G22" s="1220"/>
      <c r="H22" s="1221"/>
      <c r="I22" s="1222"/>
      <c r="J22" s="1223"/>
      <c r="K22" s="1224"/>
      <c r="L22" s="1222"/>
      <c r="M22" s="1224"/>
      <c r="N22" s="1058"/>
      <c r="O22" s="1059"/>
    </row>
    <row r="23" spans="1:15" s="184" customFormat="1" ht="24.75" customHeight="1">
      <c r="A23" s="175">
        <v>9</v>
      </c>
      <c r="B23" s="164"/>
      <c r="C23" s="597"/>
      <c r="D23" s="1052"/>
      <c r="E23" s="1053"/>
      <c r="F23" s="1054"/>
      <c r="G23" s="1064"/>
      <c r="H23" s="1065"/>
      <c r="I23" s="1111"/>
      <c r="J23" s="1112"/>
      <c r="K23" s="1113"/>
      <c r="L23" s="1114"/>
      <c r="M23" s="1115"/>
      <c r="N23" s="1058"/>
      <c r="O23" s="1059"/>
    </row>
    <row r="24" spans="1:15" s="184" customFormat="1" ht="24.75" customHeight="1" thickBot="1">
      <c r="A24" s="176">
        <v>10</v>
      </c>
      <c r="B24" s="165"/>
      <c r="C24" s="598"/>
      <c r="D24" s="1032"/>
      <c r="E24" s="1033"/>
      <c r="F24" s="1034"/>
      <c r="G24" s="1044"/>
      <c r="H24" s="1045"/>
      <c r="I24" s="1073"/>
      <c r="J24" s="1074"/>
      <c r="K24" s="1075"/>
      <c r="L24" s="1177"/>
      <c r="M24" s="1072"/>
      <c r="N24" s="1129"/>
      <c r="O24" s="1031"/>
    </row>
    <row r="25" spans="1:15" s="184" customFormat="1" ht="24.75" customHeight="1">
      <c r="A25" s="177" t="s">
        <v>38</v>
      </c>
      <c r="B25" s="163"/>
      <c r="C25" s="434"/>
      <c r="D25" s="1178"/>
      <c r="E25" s="1179"/>
      <c r="F25" s="1180"/>
      <c r="G25" s="1149"/>
      <c r="H25" s="1150"/>
      <c r="I25" s="1215"/>
      <c r="J25" s="1216"/>
      <c r="K25" s="1217"/>
      <c r="L25" s="1218"/>
      <c r="M25" s="1219"/>
      <c r="N25" s="1082"/>
      <c r="O25" s="1083"/>
    </row>
    <row r="26" spans="1:15" s="184" customFormat="1" ht="24.75" customHeight="1" thickBot="1">
      <c r="A26" s="178" t="s">
        <v>39</v>
      </c>
      <c r="B26" s="165"/>
      <c r="C26" s="435"/>
      <c r="D26" s="1212"/>
      <c r="E26" s="1213"/>
      <c r="F26" s="1214"/>
      <c r="G26" s="1139"/>
      <c r="H26" s="1140"/>
      <c r="I26" s="1156"/>
      <c r="J26" s="1157"/>
      <c r="K26" s="1158"/>
      <c r="L26" s="1159"/>
      <c r="M26" s="1160"/>
      <c r="N26" s="1030"/>
      <c r="O26" s="1031"/>
    </row>
    <row r="27" spans="1:15" s="184" customFormat="1" ht="24.75" customHeight="1" thickBot="1">
      <c r="A27" s="508" t="s">
        <v>235</v>
      </c>
      <c r="B27" s="492"/>
      <c r="C27" s="492"/>
      <c r="D27" s="492"/>
      <c r="E27" s="492"/>
      <c r="F27" s="493"/>
      <c r="G27" s="509">
        <f>G65</f>
      </c>
      <c r="H27" s="510" t="s">
        <v>236</v>
      </c>
      <c r="I27" s="492"/>
      <c r="J27" s="492"/>
      <c r="K27" s="492"/>
      <c r="L27" s="492"/>
      <c r="M27" s="492"/>
      <c r="N27" s="492"/>
      <c r="O27" s="493"/>
    </row>
    <row r="28" spans="11:13" ht="12.75" hidden="1">
      <c r="K28" s="166">
        <f>IF(L12="31.12.",31,IF(L12="01.01.",1,IF(L12="01.07.",1,30)))</f>
        <v>30</v>
      </c>
      <c r="L28" s="166">
        <f>IF(L12="31.12.",12,IF(L12="01.01.",1,IF(L12="01.07.",7,6)))</f>
        <v>6</v>
      </c>
      <c r="M28" s="166">
        <f>M12</f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7</v>
      </c>
      <c r="E40" s="162">
        <f>MONTH(Mannschaften!P4)</f>
        <v>9</v>
      </c>
      <c r="H40" s="162">
        <f>DAY(Mannschaften!T4)</f>
        <v>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25:F25 D26">
    <cfRule type="expression" priority="34" dxfId="2" stopIfTrue="1">
      <formula>$O39&lt;0</formula>
    </cfRule>
    <cfRule type="expression" priority="35" dxfId="0" stopIfTrue="1">
      <formula>$K51=2</formula>
    </cfRule>
    <cfRule type="expression" priority="36" dxfId="0" stopIfTrue="1">
      <formula>$G51=2</formula>
    </cfRule>
  </conditionalFormatting>
  <conditionalFormatting sqref="D15:F24">
    <cfRule type="expression" priority="4" dxfId="2" stopIfTrue="1">
      <formula>$O29&lt;0</formula>
    </cfRule>
    <cfRule type="expression" priority="5" dxfId="0" stopIfTrue="1">
      <formula>$K41=2</formula>
    </cfRule>
    <cfRule type="expression" priority="6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AP73"/>
  <sheetViews>
    <sheetView zoomScalePageLayoutView="0" workbookViewId="0" topLeftCell="A31">
      <selection activeCell="A53" sqref="A53:A56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678" t="s">
        <v>123</v>
      </c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80" t="s">
        <v>263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</row>
    <row r="4" spans="1:35" ht="19.5" customHeight="1">
      <c r="A4" s="681" t="s">
        <v>305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</row>
    <row r="5" spans="1:35" ht="18">
      <c r="A5" s="681" t="s">
        <v>252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</row>
    <row r="6" spans="1:35" ht="9.75" customHeight="1">
      <c r="A6" s="681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</row>
    <row r="7" spans="1:37" ht="18" customHeight="1">
      <c r="A7" s="485" t="s">
        <v>289</v>
      </c>
      <c r="B7" s="17"/>
      <c r="C7" s="17" t="s">
        <v>284</v>
      </c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210"/>
      <c r="AD7" s="210"/>
      <c r="AE7" s="210"/>
      <c r="AF7" s="210"/>
      <c r="AG7" s="210"/>
      <c r="AH7" s="210"/>
      <c r="AI7" s="210"/>
      <c r="AJ7" s="210"/>
      <c r="AK7" s="210"/>
    </row>
    <row r="8" spans="1:37" s="17" customFormat="1" ht="18" customHeight="1">
      <c r="A8" s="485"/>
      <c r="C8" s="17" t="s">
        <v>264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10"/>
      <c r="AD8" s="210"/>
      <c r="AE8" s="210"/>
      <c r="AF8" s="210"/>
      <c r="AG8" s="210"/>
      <c r="AH8" s="210"/>
      <c r="AI8" s="210"/>
      <c r="AJ8" s="210"/>
      <c r="AK8" s="210"/>
    </row>
    <row r="9" spans="1:37" s="17" customFormat="1" ht="9.75" customHeight="1">
      <c r="A9" s="485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10"/>
      <c r="AD9" s="210"/>
      <c r="AE9" s="210"/>
      <c r="AF9" s="210"/>
      <c r="AG9" s="210"/>
      <c r="AH9" s="210"/>
      <c r="AI9" s="210"/>
      <c r="AJ9" s="210"/>
      <c r="AK9" s="210"/>
    </row>
    <row r="10" spans="1:37" s="17" customFormat="1" ht="18" customHeight="1">
      <c r="A10" s="485" t="s">
        <v>290</v>
      </c>
      <c r="C10" s="17" t="s">
        <v>265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10"/>
      <c r="AD10" s="210"/>
      <c r="AE10" s="210"/>
      <c r="AF10" s="210"/>
      <c r="AG10" s="210"/>
      <c r="AH10" s="210"/>
      <c r="AI10" s="210"/>
      <c r="AJ10" s="210"/>
      <c r="AK10" s="210"/>
    </row>
    <row r="11" spans="1:37" s="17" customFormat="1" ht="18" customHeight="1">
      <c r="A11" s="485"/>
      <c r="C11" s="17" t="s">
        <v>285</v>
      </c>
      <c r="D11" s="209"/>
      <c r="E11" s="209"/>
      <c r="F11" s="209"/>
      <c r="G11" s="209"/>
      <c r="H11" s="209"/>
      <c r="I11" s="209"/>
      <c r="J11" s="210"/>
      <c r="K11" s="209"/>
      <c r="L11" s="210"/>
      <c r="M11" s="210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10"/>
      <c r="AD11" s="210"/>
      <c r="AE11" s="210"/>
      <c r="AF11" s="210"/>
      <c r="AG11" s="210"/>
      <c r="AH11" s="210"/>
      <c r="AI11" s="210"/>
      <c r="AJ11" s="210"/>
      <c r="AK11" s="210"/>
    </row>
    <row r="12" spans="1:37" s="17" customFormat="1" ht="18" customHeight="1">
      <c r="A12" s="485"/>
      <c r="C12" s="17" t="s">
        <v>266</v>
      </c>
      <c r="D12" s="209"/>
      <c r="E12" s="209"/>
      <c r="F12" s="209"/>
      <c r="G12" s="209"/>
      <c r="H12" s="209"/>
      <c r="I12" s="209"/>
      <c r="J12" s="209"/>
      <c r="K12" s="209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</row>
    <row r="13" spans="1:37" s="17" customFormat="1" ht="18" customHeight="1">
      <c r="A13" s="485"/>
      <c r="C13" s="17" t="s">
        <v>267</v>
      </c>
      <c r="D13" s="209"/>
      <c r="E13" s="209"/>
      <c r="F13" s="209"/>
      <c r="G13" s="209"/>
      <c r="H13" s="209"/>
      <c r="I13" s="209"/>
      <c r="J13" s="209"/>
      <c r="K13" s="209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</row>
    <row r="14" spans="1:37" s="17" customFormat="1" ht="18" customHeight="1">
      <c r="A14" s="485"/>
      <c r="C14" s="17" t="s">
        <v>286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10"/>
      <c r="U14" s="209"/>
      <c r="V14" s="209"/>
      <c r="W14" s="209"/>
      <c r="X14" s="209"/>
      <c r="Y14" s="209"/>
      <c r="Z14" s="209"/>
      <c r="AA14" s="209"/>
      <c r="AB14" s="209"/>
      <c r="AC14" s="210"/>
      <c r="AD14" s="210"/>
      <c r="AE14" s="210"/>
      <c r="AF14" s="210"/>
      <c r="AG14" s="210"/>
      <c r="AH14" s="210"/>
      <c r="AI14" s="210"/>
      <c r="AJ14" s="210"/>
      <c r="AK14" s="210"/>
    </row>
    <row r="15" spans="1:37" s="17" customFormat="1" ht="9.75" customHeight="1">
      <c r="A15" s="485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10"/>
      <c r="U15" s="209"/>
      <c r="V15" s="209"/>
      <c r="W15" s="209"/>
      <c r="X15" s="209"/>
      <c r="Y15" s="209"/>
      <c r="Z15" s="209"/>
      <c r="AA15" s="209"/>
      <c r="AB15" s="209"/>
      <c r="AC15" s="210"/>
      <c r="AD15" s="210"/>
      <c r="AE15" s="210"/>
      <c r="AF15" s="210"/>
      <c r="AG15" s="210"/>
      <c r="AH15" s="210"/>
      <c r="AI15" s="210"/>
      <c r="AJ15" s="210"/>
      <c r="AK15" s="210"/>
    </row>
    <row r="16" spans="1:37" s="17" customFormat="1" ht="18" customHeight="1">
      <c r="A16" s="485" t="s">
        <v>291</v>
      </c>
      <c r="C16" s="17" t="s">
        <v>268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10"/>
      <c r="U16" s="209"/>
      <c r="V16" s="209"/>
      <c r="W16" s="209"/>
      <c r="X16" s="209"/>
      <c r="Y16" s="209"/>
      <c r="Z16" s="209"/>
      <c r="AA16" s="209"/>
      <c r="AB16" s="209"/>
      <c r="AC16" s="210"/>
      <c r="AD16" s="210"/>
      <c r="AE16" s="210"/>
      <c r="AF16" s="210"/>
      <c r="AG16" s="210"/>
      <c r="AH16" s="210"/>
      <c r="AI16" s="210"/>
      <c r="AJ16" s="210"/>
      <c r="AK16" s="210"/>
    </row>
    <row r="17" spans="1:37" s="17" customFormat="1" ht="18" customHeight="1">
      <c r="A17" s="485"/>
      <c r="C17" s="17" t="s">
        <v>269</v>
      </c>
      <c r="D17" s="209"/>
      <c r="E17" s="209"/>
      <c r="F17" s="209"/>
      <c r="G17" s="209"/>
      <c r="H17" s="209"/>
      <c r="I17" s="209"/>
      <c r="J17" s="209"/>
      <c r="K17" s="209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09"/>
      <c r="Y17" s="209"/>
      <c r="Z17" s="209"/>
      <c r="AA17" s="209"/>
      <c r="AB17" s="209"/>
      <c r="AC17" s="210"/>
      <c r="AD17" s="210"/>
      <c r="AE17" s="210"/>
      <c r="AF17" s="210"/>
      <c r="AG17" s="210"/>
      <c r="AH17" s="210"/>
      <c r="AI17" s="210"/>
      <c r="AJ17" s="210"/>
      <c r="AK17" s="210"/>
    </row>
    <row r="18" spans="1:37" s="17" customFormat="1" ht="18" customHeight="1">
      <c r="A18" s="485"/>
      <c r="C18" s="17" t="s">
        <v>270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10"/>
      <c r="AD18" s="210"/>
      <c r="AE18" s="210"/>
      <c r="AF18" s="210"/>
      <c r="AG18" s="210"/>
      <c r="AH18" s="210"/>
      <c r="AI18" s="210"/>
      <c r="AJ18" s="210"/>
      <c r="AK18" s="210"/>
    </row>
    <row r="19" spans="1:37" s="17" customFormat="1" ht="18" customHeight="1">
      <c r="A19" s="485"/>
      <c r="C19" s="17" t="s">
        <v>271</v>
      </c>
      <c r="D19" s="209"/>
      <c r="E19" s="209"/>
      <c r="F19" s="209"/>
      <c r="G19" s="209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</row>
    <row r="20" spans="1:37" s="17" customFormat="1" ht="18" customHeight="1">
      <c r="A20" s="485"/>
      <c r="C20" s="17" t="s">
        <v>272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10"/>
      <c r="U20" s="209"/>
      <c r="V20" s="209"/>
      <c r="W20" s="209"/>
      <c r="X20" s="209"/>
      <c r="Y20" s="209"/>
      <c r="Z20" s="209"/>
      <c r="AA20" s="209"/>
      <c r="AB20" s="209"/>
      <c r="AC20" s="210"/>
      <c r="AD20" s="210"/>
      <c r="AE20" s="210"/>
      <c r="AF20" s="210"/>
      <c r="AG20" s="210"/>
      <c r="AH20" s="210"/>
      <c r="AI20" s="210"/>
      <c r="AJ20" s="210"/>
      <c r="AK20" s="210"/>
    </row>
    <row r="21" spans="1:37" s="17" customFormat="1" ht="18" customHeight="1">
      <c r="A21" s="485"/>
      <c r="C21" s="17" t="s">
        <v>273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10"/>
      <c r="AD21" s="210"/>
      <c r="AE21" s="210"/>
      <c r="AF21" s="210"/>
      <c r="AG21" s="210"/>
      <c r="AH21" s="210"/>
      <c r="AI21" s="210"/>
      <c r="AJ21" s="210"/>
      <c r="AK21" s="210"/>
    </row>
    <row r="22" spans="1:37" s="17" customFormat="1" ht="18" customHeight="1">
      <c r="A22" s="485"/>
      <c r="C22" s="17" t="s">
        <v>304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10"/>
      <c r="AD22" s="210"/>
      <c r="AE22" s="210"/>
      <c r="AF22" s="210"/>
      <c r="AG22" s="210"/>
      <c r="AH22" s="210"/>
      <c r="AI22" s="210"/>
      <c r="AJ22" s="210"/>
      <c r="AK22" s="210"/>
    </row>
    <row r="23" spans="1:37" s="17" customFormat="1" ht="9.75" customHeight="1">
      <c r="A23" s="485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10"/>
      <c r="AD23" s="210"/>
      <c r="AE23" s="210"/>
      <c r="AF23" s="210"/>
      <c r="AG23" s="210"/>
      <c r="AH23" s="210"/>
      <c r="AI23" s="210"/>
      <c r="AJ23" s="210"/>
      <c r="AK23" s="210"/>
    </row>
    <row r="24" spans="1:37" s="17" customFormat="1" ht="18" customHeight="1">
      <c r="A24" s="485" t="s">
        <v>292</v>
      </c>
      <c r="C24" s="17" t="s">
        <v>274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10"/>
      <c r="AD24" s="210"/>
      <c r="AE24" s="210"/>
      <c r="AF24" s="210"/>
      <c r="AG24" s="210"/>
      <c r="AH24" s="210"/>
      <c r="AI24" s="210"/>
      <c r="AJ24" s="210"/>
      <c r="AK24" s="210"/>
    </row>
    <row r="25" spans="1:37" s="17" customFormat="1" ht="18" customHeight="1">
      <c r="A25" s="485"/>
      <c r="C25" s="17" t="s">
        <v>310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10"/>
      <c r="AD25" s="209"/>
      <c r="AE25" s="210"/>
      <c r="AF25" s="209"/>
      <c r="AG25" s="210"/>
      <c r="AH25" s="210"/>
      <c r="AI25" s="210"/>
      <c r="AJ25" s="210"/>
      <c r="AK25" s="210"/>
    </row>
    <row r="26" spans="1:37" s="17" customFormat="1" ht="18" customHeight="1">
      <c r="A26" s="485"/>
      <c r="C26" s="17" t="s">
        <v>311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10"/>
      <c r="AD26" s="209"/>
      <c r="AE26" s="210"/>
      <c r="AF26" s="209"/>
      <c r="AG26" s="210"/>
      <c r="AH26" s="210"/>
      <c r="AI26" s="210"/>
      <c r="AJ26" s="210"/>
      <c r="AK26" s="210"/>
    </row>
    <row r="27" spans="1:37" s="17" customFormat="1" ht="18" customHeight="1">
      <c r="A27" s="485"/>
      <c r="C27" s="17" t="s">
        <v>307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0"/>
      <c r="AD27" s="209"/>
      <c r="AE27" s="210"/>
      <c r="AF27" s="209"/>
      <c r="AG27" s="210"/>
      <c r="AH27" s="210"/>
      <c r="AI27" s="210"/>
      <c r="AJ27" s="210"/>
      <c r="AK27" s="210"/>
    </row>
    <row r="28" spans="1:37" s="17" customFormat="1" ht="18" customHeight="1">
      <c r="A28" s="485"/>
      <c r="C28" s="17" t="s">
        <v>275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10"/>
      <c r="AD28" s="210"/>
      <c r="AE28" s="210"/>
      <c r="AF28" s="210"/>
      <c r="AG28" s="210"/>
      <c r="AH28" s="210"/>
      <c r="AI28" s="210"/>
      <c r="AJ28" s="210"/>
      <c r="AK28" s="210"/>
    </row>
    <row r="29" spans="1:37" s="17" customFormat="1" ht="18" customHeight="1">
      <c r="A29" s="485"/>
      <c r="C29" s="17" t="s">
        <v>276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10"/>
      <c r="AD29" s="210"/>
      <c r="AE29" s="210"/>
      <c r="AF29" s="210"/>
      <c r="AG29" s="210"/>
      <c r="AH29" s="210"/>
      <c r="AI29" s="210"/>
      <c r="AJ29" s="210"/>
      <c r="AK29" s="210"/>
    </row>
    <row r="30" spans="1:37" s="17" customFormat="1" ht="18" customHeight="1">
      <c r="A30" s="485"/>
      <c r="C30" s="17" t="s">
        <v>308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10"/>
      <c r="AD30" s="210"/>
      <c r="AE30" s="210"/>
      <c r="AF30" s="210"/>
      <c r="AG30" s="210"/>
      <c r="AH30" s="210"/>
      <c r="AI30" s="210"/>
      <c r="AJ30" s="210"/>
      <c r="AK30" s="210"/>
    </row>
    <row r="31" spans="1:37" s="17" customFormat="1" ht="18" customHeight="1">
      <c r="A31" s="485"/>
      <c r="C31" s="17" t="s">
        <v>277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10"/>
      <c r="AD31" s="210"/>
      <c r="AE31" s="210"/>
      <c r="AF31" s="210"/>
      <c r="AG31" s="210"/>
      <c r="AH31" s="210"/>
      <c r="AI31" s="210"/>
      <c r="AJ31" s="210"/>
      <c r="AK31" s="210"/>
    </row>
    <row r="32" spans="1:37" s="17" customFormat="1" ht="18" customHeight="1">
      <c r="A32" s="485"/>
      <c r="C32" s="17" t="s">
        <v>309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10"/>
      <c r="AD32" s="210"/>
      <c r="AE32" s="210"/>
      <c r="AF32" s="210"/>
      <c r="AG32" s="210"/>
      <c r="AH32" s="210"/>
      <c r="AI32" s="210"/>
      <c r="AJ32" s="210"/>
      <c r="AK32" s="210"/>
    </row>
    <row r="33" spans="1:37" s="17" customFormat="1" ht="9.75" customHeight="1">
      <c r="A33" s="485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10"/>
      <c r="AD33" s="210"/>
      <c r="AE33" s="210"/>
      <c r="AF33" s="210"/>
      <c r="AG33" s="210"/>
      <c r="AH33" s="210"/>
      <c r="AI33" s="210"/>
      <c r="AJ33" s="210"/>
      <c r="AK33" s="210"/>
    </row>
    <row r="34" spans="1:42" s="17" customFormat="1" ht="18" customHeight="1">
      <c r="A34" s="485" t="s">
        <v>293</v>
      </c>
      <c r="C34" s="17" t="s">
        <v>278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10"/>
      <c r="AD34" s="210"/>
      <c r="AE34" s="210"/>
      <c r="AF34" s="210"/>
      <c r="AG34" s="210"/>
      <c r="AH34" s="210"/>
      <c r="AI34" s="210"/>
      <c r="AJ34" s="210"/>
      <c r="AK34" s="210"/>
      <c r="AP34" s="587"/>
    </row>
    <row r="35" spans="1:42" s="17" customFormat="1" ht="18" customHeight="1">
      <c r="A35" s="485"/>
      <c r="C35" s="17" t="s">
        <v>279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8"/>
      <c r="AD35" s="488"/>
      <c r="AE35" s="488"/>
      <c r="AF35" s="210"/>
      <c r="AG35" s="210"/>
      <c r="AH35" s="210"/>
      <c r="AI35" s="210"/>
      <c r="AJ35" s="210"/>
      <c r="AK35" s="210"/>
      <c r="AP35" s="587"/>
    </row>
    <row r="36" spans="1:42" s="17" customFormat="1" ht="18" customHeight="1">
      <c r="A36" s="485"/>
      <c r="C36" s="17" t="s">
        <v>287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210"/>
      <c r="AG36" s="210"/>
      <c r="AH36" s="210"/>
      <c r="AI36" s="210"/>
      <c r="AJ36" s="210"/>
      <c r="AK36" s="210"/>
      <c r="AP36" s="587"/>
    </row>
    <row r="37" spans="1:42" s="17" customFormat="1" ht="18" customHeight="1">
      <c r="A37" s="485"/>
      <c r="C37" s="17" t="s">
        <v>320</v>
      </c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88"/>
      <c r="AF37" s="588"/>
      <c r="AG37" s="588"/>
      <c r="AH37" s="588"/>
      <c r="AI37" s="588"/>
      <c r="AJ37" s="588"/>
      <c r="AK37" s="588"/>
      <c r="AP37" s="587"/>
    </row>
    <row r="38" spans="1:42" s="17" customFormat="1" ht="18" customHeight="1">
      <c r="A38" s="485"/>
      <c r="C38" s="17" t="s">
        <v>288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10"/>
      <c r="AD38" s="210"/>
      <c r="AE38" s="210"/>
      <c r="AF38" s="210"/>
      <c r="AG38" s="210"/>
      <c r="AH38" s="210"/>
      <c r="AI38" s="210"/>
      <c r="AJ38" s="210"/>
      <c r="AK38" s="210"/>
      <c r="AP38" s="587"/>
    </row>
    <row r="39" spans="1:42" s="17" customFormat="1" ht="18" customHeight="1">
      <c r="A39" s="485"/>
      <c r="C39" s="17" t="s">
        <v>321</v>
      </c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10"/>
      <c r="AD39" s="210"/>
      <c r="AE39" s="210"/>
      <c r="AF39" s="210"/>
      <c r="AG39" s="210"/>
      <c r="AH39" s="210"/>
      <c r="AI39" s="210"/>
      <c r="AJ39" s="210"/>
      <c r="AK39" s="210"/>
      <c r="AP39" s="587"/>
    </row>
    <row r="40" spans="1:42" s="17" customFormat="1" ht="18" customHeight="1">
      <c r="A40" s="485"/>
      <c r="C40" s="17" t="s">
        <v>322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210"/>
      <c r="AE40" s="210"/>
      <c r="AF40" s="210"/>
      <c r="AG40" s="210"/>
      <c r="AH40" s="210"/>
      <c r="AI40" s="210"/>
      <c r="AJ40" s="210"/>
      <c r="AK40" s="210"/>
      <c r="AP40" s="587"/>
    </row>
    <row r="41" spans="1:42" s="17" customFormat="1" ht="18" customHeight="1">
      <c r="A41" s="485"/>
      <c r="C41" s="17" t="s">
        <v>323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10"/>
      <c r="AD41" s="210"/>
      <c r="AE41" s="210"/>
      <c r="AF41" s="210"/>
      <c r="AG41" s="210"/>
      <c r="AH41" s="210"/>
      <c r="AI41" s="210"/>
      <c r="AJ41" s="210"/>
      <c r="AK41" s="210"/>
      <c r="AP41" s="587"/>
    </row>
    <row r="42" spans="1:42" s="17" customFormat="1" ht="18" customHeight="1">
      <c r="A42" s="485"/>
      <c r="C42" s="17" t="s">
        <v>324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P42" s="587"/>
    </row>
    <row r="43" spans="1:42" s="17" customFormat="1" ht="18" customHeight="1">
      <c r="A43" s="485"/>
      <c r="C43" s="17" t="s">
        <v>325</v>
      </c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10"/>
      <c r="AD43" s="210"/>
      <c r="AE43" s="210"/>
      <c r="AF43" s="210"/>
      <c r="AG43" s="210"/>
      <c r="AH43" s="210"/>
      <c r="AI43" s="210"/>
      <c r="AJ43" s="210"/>
      <c r="AK43" s="210"/>
      <c r="AP43" s="587"/>
    </row>
    <row r="44" spans="1:42" s="17" customFormat="1" ht="18" customHeight="1">
      <c r="A44" s="485"/>
      <c r="C44" s="17" t="s">
        <v>327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10"/>
      <c r="AD44" s="210"/>
      <c r="AE44" s="210"/>
      <c r="AF44" s="210"/>
      <c r="AG44" s="210"/>
      <c r="AH44" s="210"/>
      <c r="AI44" s="210"/>
      <c r="AJ44" s="210"/>
      <c r="AK44" s="210"/>
      <c r="AP44" s="587"/>
    </row>
    <row r="45" spans="1:42" s="17" customFormat="1" ht="18" customHeight="1">
      <c r="A45" s="485"/>
      <c r="C45" s="17" t="s">
        <v>326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10"/>
      <c r="AD45" s="210"/>
      <c r="AE45" s="210"/>
      <c r="AF45" s="210"/>
      <c r="AG45" s="210"/>
      <c r="AH45" s="210"/>
      <c r="AI45" s="210"/>
      <c r="AJ45" s="210"/>
      <c r="AK45" s="210"/>
      <c r="AP45" s="587"/>
    </row>
    <row r="46" spans="1:37" s="17" customFormat="1" ht="9.75" customHeight="1">
      <c r="A46" s="485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10"/>
      <c r="AD46" s="210"/>
      <c r="AE46" s="210"/>
      <c r="AF46" s="210"/>
      <c r="AG46" s="210"/>
      <c r="AH46" s="210"/>
      <c r="AI46" s="210"/>
      <c r="AJ46" s="210"/>
      <c r="AK46" s="210"/>
    </row>
    <row r="47" spans="1:37" s="17" customFormat="1" ht="18" customHeight="1">
      <c r="A47" s="485" t="s">
        <v>294</v>
      </c>
      <c r="C47" s="17" t="s">
        <v>301</v>
      </c>
      <c r="D47" s="209"/>
      <c r="E47" s="209"/>
      <c r="F47" s="209"/>
      <c r="G47" s="210"/>
      <c r="H47" s="210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</row>
    <row r="48" spans="1:37" s="17" customFormat="1" ht="9.75" customHeight="1">
      <c r="A48" s="485"/>
      <c r="D48" s="209"/>
      <c r="E48" s="209"/>
      <c r="F48" s="209"/>
      <c r="G48" s="210"/>
      <c r="H48" s="210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10"/>
      <c r="AD48" s="210"/>
      <c r="AE48" s="210"/>
      <c r="AF48" s="210"/>
      <c r="AG48" s="210"/>
      <c r="AH48" s="210"/>
      <c r="AI48" s="210"/>
      <c r="AJ48" s="210"/>
      <c r="AK48" s="210"/>
    </row>
    <row r="49" spans="1:37" s="17" customFormat="1" ht="18" customHeight="1">
      <c r="A49" s="485" t="s">
        <v>295</v>
      </c>
      <c r="C49" s="17" t="s">
        <v>280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10"/>
      <c r="AD49" s="210"/>
      <c r="AE49" s="210"/>
      <c r="AF49" s="210"/>
      <c r="AG49" s="210"/>
      <c r="AH49" s="210"/>
      <c r="AI49" s="210"/>
      <c r="AJ49" s="210"/>
      <c r="AK49" s="210"/>
    </row>
    <row r="50" spans="1:37" ht="9.75" customHeight="1">
      <c r="A50" s="485"/>
      <c r="B50" s="17"/>
      <c r="C50" s="17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</row>
    <row r="51" spans="1:37" ht="18" customHeight="1">
      <c r="A51" s="485" t="s">
        <v>296</v>
      </c>
      <c r="B51" s="17"/>
      <c r="C51" s="17" t="s">
        <v>297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</row>
    <row r="52" spans="1:37" ht="12.75" customHeight="1">
      <c r="A52" s="485"/>
      <c r="B52" s="17"/>
      <c r="C52" s="17" t="s">
        <v>312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210"/>
      <c r="AI52" s="210"/>
      <c r="AJ52" s="210"/>
      <c r="AK52" s="210"/>
    </row>
    <row r="53" spans="1:37" ht="18" customHeight="1">
      <c r="A53" s="485"/>
      <c r="B53" s="17"/>
      <c r="C53" s="507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210"/>
      <c r="AI53" s="210"/>
      <c r="AJ53" s="210"/>
      <c r="AK53" s="210"/>
    </row>
    <row r="54" spans="1:37" ht="9.75" customHeight="1">
      <c r="A54" s="485"/>
      <c r="B54" s="17"/>
      <c r="C54" s="17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</row>
    <row r="55" spans="1:37" ht="18" customHeight="1">
      <c r="A55" s="485"/>
      <c r="B55" s="17"/>
      <c r="C55" s="17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</row>
    <row r="56" spans="1:37" ht="15.75">
      <c r="A56" s="209"/>
      <c r="B56" s="13"/>
      <c r="C56" s="1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9.75" customHeight="1">
      <c r="A57" s="209"/>
      <c r="B57" s="13"/>
      <c r="C57" s="50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9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10"/>
      <c r="V59" s="210"/>
      <c r="W59" s="210"/>
      <c r="X59" s="210"/>
      <c r="Y59" s="210"/>
      <c r="Z59" s="682"/>
      <c r="AA59" s="682"/>
      <c r="AB59" s="682"/>
      <c r="AC59" s="682"/>
      <c r="AD59" s="682"/>
      <c r="AE59" s="682"/>
      <c r="AF59" s="682"/>
      <c r="AG59" s="682"/>
      <c r="AH59" s="682"/>
      <c r="AI59" s="682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10"/>
      <c r="V60" s="210"/>
      <c r="W60" s="210"/>
      <c r="X60" s="210"/>
      <c r="Y60" s="210"/>
      <c r="Z60" s="682"/>
      <c r="AA60" s="682"/>
      <c r="AB60" s="682"/>
      <c r="AC60" s="682"/>
      <c r="AD60" s="682"/>
      <c r="AE60" s="682"/>
      <c r="AF60" s="682"/>
      <c r="AG60" s="682"/>
      <c r="AH60" s="682"/>
      <c r="AI60" s="682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48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</sheetData>
  <sheetProtection selectLockedCells="1"/>
  <mergeCells count="7">
    <mergeCell ref="A6:AI6"/>
    <mergeCell ref="Z59:AI59"/>
    <mergeCell ref="Z60:AI60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1200" verticalDpi="12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Z2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25" t="s">
        <v>123</v>
      </c>
      <c r="F1" s="1025"/>
      <c r="G1" s="1025"/>
      <c r="H1" s="1025"/>
      <c r="I1" s="1025"/>
      <c r="J1" s="1025"/>
      <c r="K1" s="1025"/>
      <c r="L1" s="1025"/>
      <c r="M1" s="1025"/>
    </row>
    <row r="2" spans="5:13" s="184" customFormat="1" ht="21" customHeight="1">
      <c r="E2" s="1026" t="str">
        <f>IF(Mannschaften!D2="","",Mannschaften!D2)</f>
        <v> Deutsche Meisterschaft der Jugend  Feld   2019</v>
      </c>
      <c r="F2" s="1026"/>
      <c r="G2" s="1026"/>
      <c r="H2" s="1026"/>
      <c r="I2" s="1026"/>
      <c r="J2" s="1026"/>
      <c r="K2" s="1026"/>
      <c r="L2" s="1026"/>
      <c r="M2" s="1026"/>
    </row>
    <row r="3" s="184" customFormat="1" ht="13.5" customHeight="1"/>
    <row r="4" spans="4:26" s="184" customFormat="1" ht="23.25" customHeight="1">
      <c r="D4" s="185"/>
      <c r="E4" s="1027" t="str">
        <f>IF(Mannschaften!I4="","",Mannschaften!I4)</f>
        <v>Hallerstein</v>
      </c>
      <c r="F4" s="1027"/>
      <c r="G4" s="1027"/>
      <c r="H4" s="1027"/>
      <c r="I4" s="169">
        <f>Mannschaften!P4</f>
        <v>43715</v>
      </c>
      <c r="J4" s="186" t="s">
        <v>108</v>
      </c>
      <c r="K4" s="169">
        <f>Mannschaften!T4</f>
        <v>43716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Hallerstein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28" t="s">
        <v>125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="184" customFormat="1" ht="6" customHeight="1"/>
    <row r="11" spans="6:14" s="184" customFormat="1" ht="18">
      <c r="F11" s="170" t="s">
        <v>149</v>
      </c>
      <c r="G11" s="168" t="str">
        <f>Mannschaften!K3</f>
        <v>m U18</v>
      </c>
      <c r="H11" s="170"/>
      <c r="I11" s="170" t="s">
        <v>129</v>
      </c>
      <c r="L11" s="172">
        <f>IF(Mannschaften!U3="","",Mannschaften!U3)</f>
      </c>
      <c r="M11" s="173">
        <f>IF(Mannschaften!X3="","",Mannschaften!X3)</f>
      </c>
      <c r="N11" s="170"/>
    </row>
    <row r="12" s="184" customFormat="1" ht="12.75"/>
    <row r="14" spans="1:3" ht="19.5" customHeight="1">
      <c r="A14" s="162" t="s">
        <v>240</v>
      </c>
      <c r="C14" s="162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>     ; ; ; ; ; ; ; ; ;  Trainer: ; Betreuer: </v>
      </c>
    </row>
    <row r="15" spans="1:3" ht="19.5" customHeight="1">
      <c r="A15" s="162" t="s">
        <v>241</v>
      </c>
      <c r="C15" s="162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>NlV Stuttgart     ; ; ; ; ; ; ; ; ;  Trainer: ; Betreuer: </v>
      </c>
    </row>
    <row r="16" spans="1:3" ht="19.5" customHeight="1">
      <c r="A16" s="162" t="s">
        <v>256</v>
      </c>
      <c r="C16" s="162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>TB Oppau     ; ; ; ; ; ; ; ; ;  Trainer: ; Betreuer: </v>
      </c>
    </row>
    <row r="17" spans="1:3" ht="19.5" customHeight="1">
      <c r="A17" s="162" t="s">
        <v>257</v>
      </c>
      <c r="C17" s="162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>TuS Wickrath     ; ; ; ; ; ; ; ; ;  Trainer: ; Betreuer: </v>
      </c>
    </row>
    <row r="18" spans="1:3" ht="19.5" customHeight="1">
      <c r="A18" s="162" t="s">
        <v>258</v>
      </c>
      <c r="C18" s="162" t="str">
        <f>CONCATENATE('Spielereinsatzliste A5'!D$10,"     ",'Spielereinsatzliste A5'!D$15,"; ",'Spielereinsatzliste A5'!D$16,"; ",'Spielereinsatzliste A5'!D$17,"; ",'Spielereinsatzliste A5'!D$18,"; ",'Spielereinsatzliste A5'!D$19,"; ",'Spielereinsatzliste A5'!D$20,"; ",'Spielereinsatzliste A5'!D$21,"; ",'Spielereinsatzliste A5'!D$22,"; ",'Spielereinsatzliste A5'!D$23,"; ",'Spielereinsatzliste A5'!D$24," ",'Spielereinsatzliste A5'!A$25,": ",'Spielereinsatzliste A5'!D$25,"; ",'Spielereinsatzliste A5'!A$26,": ",'Spielereinsatzliste A5'!D$26,)</f>
        <v>Berliner Turnerschaft     ; ; ; ; ; ; ; ; ;  Trainer: ; Betreuer: </v>
      </c>
    </row>
    <row r="19" ht="19.5" customHeight="1"/>
    <row r="20" spans="1:3" ht="19.5" customHeight="1">
      <c r="A20" s="162" t="s">
        <v>242</v>
      </c>
      <c r="C20" s="162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>TV Segnitz     ; ; ; ; ; ; ; ; ;  Trainer: ; Betreuer: </v>
      </c>
    </row>
    <row r="21" spans="1:3" ht="19.5" customHeight="1">
      <c r="A21" s="162" t="s">
        <v>259</v>
      </c>
      <c r="C21" s="162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>TV Hallerstein     ; ; ; ; ; ; ; ; ;  Trainer: ; Betreuer: </v>
      </c>
    </row>
    <row r="22" spans="1:3" ht="19.5" customHeight="1">
      <c r="A22" s="162" t="s">
        <v>260</v>
      </c>
      <c r="C22" s="162" t="str">
        <f>CONCATENATE('Spielereinsatzliste B3'!D$10,"     ",'Spielereinsatzliste B3'!D$15,"; ",'Spielereinsatzliste B3'!D$16,"; ",'Spielereinsatzliste B3'!D$17,"; ",'Spielereinsatzliste B3'!D$18,"; ",'Spielereinsatzliste B3'!D$19,"; ",'Spielereinsatzliste B3'!D$20,";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>Ahlhorner SV     ; ; ; ; ; ; ; ; ;  Trainer: ; Betreuer: </v>
      </c>
    </row>
    <row r="23" spans="1:3" ht="19.5" customHeight="1">
      <c r="A23" s="162" t="s">
        <v>261</v>
      </c>
      <c r="C23" s="162" t="str">
        <f>CONCATENATE('Spielereinsatzliste B4'!D$10,"     ",'Spielereinsatzliste B4'!D$15,"; ",'Spielereinsatzliste B4'!D$16,"; ",'Spielereinsatzliste B4'!D$17,"; ",'Spielereinsatzliste B4'!D$18,"; ",'Spielereinsatzliste B4'!D$19,"; ",'Spielereinsatzliste B4'!D$20,"; ",'Spielereinsatzliste B4'!D$21,"; ",'Spielereinsatzliste B4'!D$22,"; ",'Spielereinsatzliste B4'!D$23,"; ",'Spielereinsatzliste B4'!D$24," ",'Spielereinsatzliste B4'!A$25,": ",'Spielereinsatzliste B4'!D$25,"; ",'Spielereinsatzliste B4'!A$26,": ",'Spielereinsatzliste B4'!D$26,)</f>
        <v>TV Brettorf     ; ; ; ; ; ; ; ; ;  Trainer: ; Betreuer: </v>
      </c>
    </row>
    <row r="24" spans="1:3" ht="19.5" customHeight="1">
      <c r="A24" s="162" t="s">
        <v>262</v>
      </c>
      <c r="C24" s="162" t="str">
        <f>CONCATENATE('Spielereinsatzliste B5'!D$10,"     ",'Spielereinsatzliste B5'!D$15,"; ",'Spielereinsatzliste B5'!D$16,"; ",'Spielereinsatzliste B5'!D$17,"; ",'Spielereinsatzliste B5'!D$18,"; ",'Spielereinsatzliste B5'!D$19,"; ",'Spielereinsatzliste B5'!D$20,"; ",'Spielereinsatzliste B5'!D$21,"; ",'Spielereinsatzliste B5'!D$22,"; ",'Spielereinsatzliste B5'!D$23,"; ",'Spielereinsatzliste B5'!D$24," ",'Spielereinsatzliste B5'!A$25,": ",'Spielereinsatzliste B5'!D$25,"; ",'Spielereinsatzliste B5'!A$26,": ",'Spielereinsatzliste B5'!D$26,)</f>
        <v>TSV Lola     ; ; ; ; ; ; ; ; ;  Trainer: ; Betreuer: </v>
      </c>
    </row>
  </sheetData>
  <sheetProtection sheet="1" objects="1" scenarios="1" selectLockedCells="1"/>
  <mergeCells count="4">
    <mergeCell ref="E1:M1"/>
    <mergeCell ref="E2:M2"/>
    <mergeCell ref="E4:H4"/>
    <mergeCell ref="A8:O8"/>
  </mergeCells>
  <printOptions horizontalCentered="1"/>
  <pageMargins left="0.1968503937007874" right="0" top="0.3937007874015748" bottom="0" header="0.5118110236220472" footer="0.5118110236220472"/>
  <pageSetup fitToHeight="1" fitToWidth="1" horizontalDpi="1200" verticalDpi="1200" orientation="landscape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26"/>
  <sheetViews>
    <sheetView zoomScalePageLayoutView="0" workbookViewId="0" topLeftCell="A4">
      <selection activeCell="H13" sqref="H13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8" t="s">
        <v>123</v>
      </c>
      <c r="C1" s="678"/>
      <c r="D1" s="678"/>
      <c r="E1" s="678"/>
      <c r="F1" s="678"/>
      <c r="G1" s="678"/>
    </row>
    <row r="2" ht="15" customHeight="1"/>
    <row r="3" ht="15" customHeight="1"/>
    <row r="4" ht="15" customHeight="1"/>
    <row r="5" spans="1:8" ht="20.25">
      <c r="A5" s="1233" t="str">
        <f>IF(Mannschaften!D2="","",Mannschaften!D2)</f>
        <v> Deutsche Meisterschaft der Jugend  Feld   2019</v>
      </c>
      <c r="B5" s="1233"/>
      <c r="C5" s="1233"/>
      <c r="D5" s="1233"/>
      <c r="E5" s="1233"/>
      <c r="F5" s="1233"/>
      <c r="G5" s="1233"/>
      <c r="H5" s="1233"/>
    </row>
    <row r="6" ht="18.75" customHeight="1"/>
    <row r="7" spans="1:6" ht="30" customHeight="1">
      <c r="A7" s="1234" t="str">
        <f>IF(Mannschaften!I4="","",Mannschaften!I4)</f>
        <v>Hallerstein</v>
      </c>
      <c r="B7" s="1234"/>
      <c r="C7" s="17"/>
      <c r="D7" s="222">
        <f>Mannschaften!P4</f>
        <v>43715</v>
      </c>
      <c r="E7" s="6" t="s">
        <v>108</v>
      </c>
      <c r="F7" s="31">
        <f>Mannschaften!T4</f>
        <v>43716</v>
      </c>
    </row>
    <row r="8" spans="1:4" ht="30" customHeight="1">
      <c r="A8" s="681" t="str">
        <f>Mannschaften!A5</f>
        <v>Ausrichter:     </v>
      </c>
      <c r="B8" s="681"/>
      <c r="C8" s="681"/>
      <c r="D8" s="26" t="str">
        <f>IF(Mannschaften!N5="","",Mannschaften!N5)</f>
        <v>TSV Hallerstein</v>
      </c>
    </row>
    <row r="9" ht="30" customHeight="1"/>
    <row r="10" spans="1:8" ht="30" customHeight="1">
      <c r="A10" s="1231" t="s">
        <v>79</v>
      </c>
      <c r="B10" s="1231"/>
      <c r="C10" s="1231"/>
      <c r="D10" s="1231"/>
      <c r="E10" s="61"/>
      <c r="F10" s="1232" t="str">
        <f>Mannschaften!K3</f>
        <v>m U18</v>
      </c>
      <c r="G10" s="1232"/>
      <c r="H10" s="1232"/>
    </row>
    <row r="11" ht="30" customHeight="1"/>
    <row r="12" spans="2:11" ht="30" customHeight="1">
      <c r="B12" s="225" t="s">
        <v>237</v>
      </c>
      <c r="D12" s="8">
        <f>IF('Spielplan-So'!AK39="","",IF('Spielplan-So'!AK39=2,'Spielplan-So'!E39,'Spielplan-So'!G39))</f>
      </c>
      <c r="K12" s="58"/>
    </row>
    <row r="13" spans="1:11" ht="30" customHeight="1">
      <c r="A13" s="223"/>
      <c r="B13" s="226" t="s">
        <v>216</v>
      </c>
      <c r="C13" s="223"/>
      <c r="D13" s="224">
        <f>IF('Spielplan-So'!AK39="","",IF('Spielplan-So'!AK39=2,'Spielplan-So'!G39,'Spielplan-So'!E39))</f>
      </c>
      <c r="K13" s="58"/>
    </row>
    <row r="14" spans="1:11" ht="30" customHeight="1">
      <c r="A14" s="223"/>
      <c r="B14" s="227" t="s">
        <v>217</v>
      </c>
      <c r="C14" s="223"/>
      <c r="D14" s="224">
        <f>IF('Spielplan-So'!AK37="","",IF('Spielplan-So'!AK37=2,'Spielplan-So'!E37,'Spielplan-So'!G37))</f>
      </c>
      <c r="K14" s="58"/>
    </row>
    <row r="15" spans="2:11" ht="30" customHeight="1">
      <c r="B15" s="7" t="s">
        <v>218</v>
      </c>
      <c r="D15" s="7">
        <f>IF('Spielplan-So'!AK37="","",IF('Spielplan-So'!AK37=2,'Spielplan-So'!G37,'Spielplan-So'!E37))</f>
      </c>
      <c r="K15" s="58"/>
    </row>
    <row r="16" spans="2:11" ht="30" customHeight="1">
      <c r="B16" s="7" t="s">
        <v>219</v>
      </c>
      <c r="D16" s="7">
        <f>IF('Spielplan-So'!AK35="","",IF('Spielplan-So'!AK35=2,'Spielplan-So'!E35,'Spielplan-So'!G35))</f>
      </c>
      <c r="K16" s="58"/>
    </row>
    <row r="17" spans="2:11" ht="30" customHeight="1">
      <c r="B17" s="7" t="s">
        <v>220</v>
      </c>
      <c r="D17" s="7">
        <f>IF('Spielplan-So'!AK35="","",IF('Spielplan-So'!AK35=2,'Spielplan-So'!G35,'Spielplan-So'!E35))</f>
      </c>
      <c r="K17" s="58"/>
    </row>
    <row r="18" spans="2:11" ht="30" customHeight="1">
      <c r="B18" s="6" t="s">
        <v>221</v>
      </c>
      <c r="D18" s="6">
        <f>IF('Spielplan-So'!AK28="","",IF('Spielplan-So'!AK28=2,'Spielplan-So'!E28,'Spielplan-So'!G28))</f>
      </c>
      <c r="K18" s="58"/>
    </row>
    <row r="19" spans="2:11" ht="30" customHeight="1">
      <c r="B19" s="6" t="s">
        <v>222</v>
      </c>
      <c r="D19" s="6">
        <f>IF('Spielplan-So'!AK28="","",IF('Spielplan-So'!AK28=2,'Spielplan-So'!G28,'Spielplan-So'!E28))</f>
      </c>
      <c r="K19" s="58"/>
    </row>
    <row r="20" spans="2:11" ht="30" customHeight="1">
      <c r="B20" s="6" t="s">
        <v>223</v>
      </c>
      <c r="D20" s="6">
        <f>IF('Spielplan-So'!AK26="","",IF('Spielplan-So'!AK26=2,'Spielplan-So'!E26,'Spielplan-So'!G26))</f>
      </c>
      <c r="K20" s="58"/>
    </row>
    <row r="21" spans="2:11" ht="30" customHeight="1">
      <c r="B21" s="6" t="s">
        <v>78</v>
      </c>
      <c r="D21" s="6">
        <f>IF('Spielplan-So'!AK26="","",IF('Spielplan-So'!AK26=2,'Spielplan-So'!G26,'Spielplan-So'!E26))</f>
      </c>
      <c r="K21" s="58"/>
    </row>
    <row r="22" spans="8:11" ht="19.5" customHeight="1">
      <c r="H22" s="485" t="s">
        <v>34</v>
      </c>
      <c r="I22" s="485"/>
      <c r="J22" s="485" t="s">
        <v>36</v>
      </c>
      <c r="K22" s="485" t="s">
        <v>332</v>
      </c>
    </row>
    <row r="23" spans="8:11" ht="19.5" customHeight="1">
      <c r="H23" s="485"/>
      <c r="I23" s="17" t="s">
        <v>329</v>
      </c>
      <c r="J23" s="485"/>
      <c r="K23" s="485"/>
    </row>
    <row r="24" spans="8:11" ht="19.5" customHeight="1">
      <c r="H24" s="485"/>
      <c r="I24" s="17" t="s">
        <v>330</v>
      </c>
      <c r="J24" s="485"/>
      <c r="K24" s="485"/>
    </row>
    <row r="25" spans="8:11" ht="19.5" customHeight="1">
      <c r="H25" s="485"/>
      <c r="I25" s="17" t="s">
        <v>328</v>
      </c>
      <c r="J25" s="485"/>
      <c r="K25" s="485"/>
    </row>
    <row r="26" spans="8:11" ht="19.5" customHeight="1">
      <c r="H26" s="485"/>
      <c r="I26" s="17" t="s">
        <v>331</v>
      </c>
      <c r="J26" s="485"/>
      <c r="K26" s="485"/>
    </row>
  </sheetData>
  <sheetProtection sheet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">
      <selection activeCell="A9" sqref="A9:H9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8" t="s">
        <v>123</v>
      </c>
      <c r="C1" s="678"/>
      <c r="D1" s="678"/>
      <c r="E1" s="678"/>
      <c r="F1" s="678"/>
      <c r="G1" s="678"/>
    </row>
    <row r="2" ht="15" customHeight="1"/>
    <row r="3" ht="15" customHeight="1"/>
    <row r="4" spans="1:8" ht="20.25">
      <c r="A4" s="1233" t="str">
        <f>IF(Mannschaften!D2="","",Mannschaften!D2)</f>
        <v> Deutsche Meisterschaft der Jugend  Feld   2019</v>
      </c>
      <c r="B4" s="1233"/>
      <c r="C4" s="1233"/>
      <c r="D4" s="1233"/>
      <c r="E4" s="1233"/>
      <c r="F4" s="1233"/>
      <c r="G4" s="1233"/>
      <c r="H4" s="1233"/>
    </row>
    <row r="5" spans="4:6" ht="20.25" customHeight="1">
      <c r="D5" s="1" t="str">
        <f>Mannschaften!K3</f>
        <v>m U18</v>
      </c>
      <c r="E5" s="221"/>
      <c r="F5" s="221"/>
    </row>
    <row r="6" spans="1:6" ht="20.25">
      <c r="A6" s="1234" t="str">
        <f>IF(Mannschaften!I4="","",Mannschaften!I4)</f>
        <v>Hallerstein</v>
      </c>
      <c r="B6" s="1234"/>
      <c r="C6" s="17"/>
      <c r="D6" s="222">
        <f>Mannschaften!P4</f>
        <v>43715</v>
      </c>
      <c r="E6" s="6" t="s">
        <v>108</v>
      </c>
      <c r="F6" s="31">
        <f>Mannschaften!T4</f>
        <v>43716</v>
      </c>
    </row>
    <row r="7" spans="1:4" ht="20.25">
      <c r="A7" s="1233" t="str">
        <f>Mannschaften!A5</f>
        <v>Ausrichter:     </v>
      </c>
      <c r="B7" s="1233"/>
      <c r="C7" s="1233"/>
      <c r="D7" s="6" t="str">
        <f>IF(Mannschaften!N5="","",Mannschaften!N5)</f>
        <v>TSV Hallerstein</v>
      </c>
    </row>
    <row r="8" spans="1:4" ht="6" customHeight="1">
      <c r="A8" s="217"/>
      <c r="B8" s="217"/>
      <c r="C8" s="217"/>
      <c r="D8" s="26"/>
    </row>
    <row r="9" spans="1:8" ht="30" customHeight="1">
      <c r="A9" s="1233" t="s">
        <v>238</v>
      </c>
      <c r="B9" s="1233"/>
      <c r="C9" s="1233"/>
      <c r="D9" s="1233"/>
      <c r="E9" s="1233"/>
      <c r="F9" s="1233"/>
      <c r="G9" s="1233"/>
      <c r="H9" s="1233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U3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421875" style="162" customWidth="1"/>
    <col min="2" max="2" width="16.8515625" style="162" customWidth="1"/>
    <col min="3" max="3" width="7.140625" style="162" customWidth="1"/>
    <col min="4" max="4" width="18.00390625" style="162" customWidth="1"/>
    <col min="5" max="5" width="8.28125" style="162" customWidth="1"/>
    <col min="6" max="7" width="8.7109375" style="162" customWidth="1"/>
    <col min="8" max="9" width="7.140625" style="162" customWidth="1"/>
    <col min="10" max="11" width="8.00390625" style="162" customWidth="1"/>
    <col min="12" max="12" width="7.140625" style="162" customWidth="1"/>
    <col min="13" max="13" width="8.57421875" style="162" customWidth="1"/>
    <col min="14" max="14" width="9.7109375" style="162" customWidth="1"/>
    <col min="15" max="16" width="7.140625" style="162" customWidth="1"/>
    <col min="17" max="17" width="5.421875" style="162" customWidth="1"/>
    <col min="18" max="16384" width="11.421875" style="162" customWidth="1"/>
  </cols>
  <sheetData>
    <row r="1" spans="3:14" s="184" customFormat="1" ht="33.75" customHeight="1">
      <c r="C1" s="1266" t="s">
        <v>123</v>
      </c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</row>
    <row r="2" spans="3:14" s="184" customFormat="1" ht="21" customHeight="1">
      <c r="C2" s="1026" t="str">
        <f>IF(Mannschaften!D2="","",Mannschaften!D2)</f>
        <v> Deutsche Meisterschaft der Jugend  Feld   2019</v>
      </c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</row>
    <row r="3" spans="2:21" s="184" customFormat="1" ht="23.25" customHeight="1">
      <c r="B3" s="185"/>
      <c r="C3" s="1027" t="str">
        <f>IF(Mannschaften!I4="","",Mannschaften!I4)</f>
        <v>Hallerstein</v>
      </c>
      <c r="D3" s="1027"/>
      <c r="E3" s="1027"/>
      <c r="F3" s="1027"/>
      <c r="I3" s="1267">
        <f>Mannschaften!P4</f>
        <v>43715</v>
      </c>
      <c r="J3" s="1267"/>
      <c r="K3" s="186" t="s">
        <v>108</v>
      </c>
      <c r="L3" s="1267">
        <f>Mannschaften!T4</f>
        <v>43716</v>
      </c>
      <c r="M3" s="1267"/>
      <c r="R3" s="185"/>
      <c r="S3" s="185"/>
      <c r="T3" s="185"/>
      <c r="U3" s="185"/>
    </row>
    <row r="4" spans="6:9" s="184" customFormat="1" ht="23.25" customHeight="1">
      <c r="F4" s="170" t="str">
        <f>Mannschaften!A5</f>
        <v>Ausrichter:     </v>
      </c>
      <c r="H4" s="170"/>
      <c r="I4" s="170" t="str">
        <f>IF(Mannschaften!N5="","",Mannschaften!N5)</f>
        <v>TSV Hallerstein</v>
      </c>
    </row>
    <row r="5" spans="1:17" s="184" customFormat="1" ht="35.25" customHeight="1">
      <c r="A5" s="1268" t="s">
        <v>180</v>
      </c>
      <c r="B5" s="1268"/>
      <c r="C5" s="1268"/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9" t="s">
        <v>299</v>
      </c>
      <c r="O5" s="1270"/>
      <c r="P5" s="1270"/>
      <c r="Q5" s="1270"/>
    </row>
    <row r="6" spans="1:17" s="184" customFormat="1" ht="24.75" customHeight="1" thickBot="1">
      <c r="A6" s="1255" t="s">
        <v>181</v>
      </c>
      <c r="B6" s="1255"/>
      <c r="C6" s="1255"/>
      <c r="D6" s="1255"/>
      <c r="E6" s="1255"/>
      <c r="F6" s="1255"/>
      <c r="G6" s="1255"/>
      <c r="H6" s="1255"/>
      <c r="I6" s="1255"/>
      <c r="J6" s="1255"/>
      <c r="K6" s="1255"/>
      <c r="L6" s="1255"/>
      <c r="M6" s="1255"/>
      <c r="N6" s="1256" t="s">
        <v>207</v>
      </c>
      <c r="O6" s="1256"/>
      <c r="P6" s="1256"/>
      <c r="Q6" s="1256"/>
    </row>
    <row r="7" spans="1:17" s="184" customFormat="1" ht="14.25" customHeight="1">
      <c r="A7" s="189" t="s">
        <v>182</v>
      </c>
      <c r="B7" s="199" t="s">
        <v>106</v>
      </c>
      <c r="C7" s="1239" t="s">
        <v>186</v>
      </c>
      <c r="D7" s="199" t="s">
        <v>210</v>
      </c>
      <c r="E7" s="1239" t="s">
        <v>187</v>
      </c>
      <c r="F7" s="200" t="s">
        <v>188</v>
      </c>
      <c r="G7" s="201" t="s">
        <v>189</v>
      </c>
      <c r="H7" s="189" t="s">
        <v>190</v>
      </c>
      <c r="I7" s="189" t="s">
        <v>193</v>
      </c>
      <c r="J7" s="199" t="s">
        <v>209</v>
      </c>
      <c r="K7" s="189" t="s">
        <v>196</v>
      </c>
      <c r="L7" s="189" t="s">
        <v>202</v>
      </c>
      <c r="M7" s="189" t="s">
        <v>198</v>
      </c>
      <c r="N7" s="189" t="s">
        <v>199</v>
      </c>
      <c r="O7" s="1257" t="s">
        <v>204</v>
      </c>
      <c r="P7" s="1258"/>
      <c r="Q7" s="1259"/>
    </row>
    <row r="8" spans="1:17" s="184" customFormat="1" ht="14.25" customHeight="1" thickBot="1">
      <c r="A8" s="202" t="s">
        <v>17</v>
      </c>
      <c r="B8" s="203" t="s">
        <v>185</v>
      </c>
      <c r="C8" s="1240"/>
      <c r="D8" s="203" t="s">
        <v>211</v>
      </c>
      <c r="E8" s="1240"/>
      <c r="F8" s="1263" t="s">
        <v>191</v>
      </c>
      <c r="G8" s="1264"/>
      <c r="H8" s="204" t="s">
        <v>192</v>
      </c>
      <c r="I8" s="202" t="s">
        <v>194</v>
      </c>
      <c r="J8" s="203" t="s">
        <v>195</v>
      </c>
      <c r="K8" s="202" t="s">
        <v>197</v>
      </c>
      <c r="L8" s="204" t="s">
        <v>203</v>
      </c>
      <c r="M8" s="202" t="s">
        <v>300</v>
      </c>
      <c r="N8" s="202" t="s">
        <v>200</v>
      </c>
      <c r="O8" s="1260"/>
      <c r="P8" s="1261"/>
      <c r="Q8" s="1262"/>
    </row>
    <row r="9" spans="1:17" ht="14.25" customHeight="1">
      <c r="A9" s="1239">
        <v>1</v>
      </c>
      <c r="B9" s="192"/>
      <c r="C9" s="1235"/>
      <c r="D9" s="563"/>
      <c r="E9" s="1254"/>
      <c r="F9" s="438"/>
      <c r="G9" s="439"/>
      <c r="H9" s="1235"/>
      <c r="I9" s="1235"/>
      <c r="J9" s="190"/>
      <c r="K9" s="1237">
        <f>IF(I9="","",I9*IF(E9="S",0.23,0.2)+IF(J9="",0,J9*J10*0.02))</f>
      </c>
      <c r="L9" s="1251"/>
      <c r="M9" s="1237">
        <f>IF(E9="","",IF(E9="D",24*(G10-F10+1),25*(G10-F10+1)))</f>
      </c>
      <c r="N9" s="1237">
        <f>IF(M9="","",L9+M9+IF(K9="",0,K9))</f>
      </c>
      <c r="O9" s="1245"/>
      <c r="P9" s="1246"/>
      <c r="Q9" s="1247"/>
    </row>
    <row r="10" spans="1:17" ht="14.25" customHeight="1" thickBot="1">
      <c r="A10" s="1240"/>
      <c r="B10" s="194"/>
      <c r="C10" s="1236"/>
      <c r="D10" s="564"/>
      <c r="E10" s="1244"/>
      <c r="F10" s="440"/>
      <c r="G10" s="441"/>
      <c r="H10" s="1236"/>
      <c r="I10" s="1236"/>
      <c r="J10" s="191"/>
      <c r="K10" s="1238"/>
      <c r="L10" s="1252"/>
      <c r="M10" s="1238"/>
      <c r="N10" s="1238"/>
      <c r="O10" s="1248"/>
      <c r="P10" s="1249"/>
      <c r="Q10" s="1250"/>
    </row>
    <row r="11" spans="1:17" ht="14.25" customHeight="1">
      <c r="A11" s="1239">
        <v>2</v>
      </c>
      <c r="B11" s="192"/>
      <c r="C11" s="1253"/>
      <c r="D11" s="563"/>
      <c r="E11" s="1254"/>
      <c r="F11" s="438"/>
      <c r="G11" s="439"/>
      <c r="H11" s="1235"/>
      <c r="I11" s="1235"/>
      <c r="J11" s="190"/>
      <c r="K11" s="1237">
        <f>IF(I11="","",I11*IF(E11="S",0.23,0.2)+IF(J11="",0,J11*J12*0.02))</f>
      </c>
      <c r="L11" s="1251"/>
      <c r="M11" s="1237">
        <f>IF(E11="","",IF(E11="D",24*(G12-F12+1),25*(G12-F12+1)))</f>
      </c>
      <c r="N11" s="1237">
        <f>IF(M11="","",L11+M11+IF(K11="",0,K11))</f>
      </c>
      <c r="O11" s="1245"/>
      <c r="P11" s="1246"/>
      <c r="Q11" s="1247"/>
    </row>
    <row r="12" spans="1:17" ht="14.25" customHeight="1" thickBot="1">
      <c r="A12" s="1240"/>
      <c r="B12" s="194"/>
      <c r="C12" s="1242"/>
      <c r="D12" s="564"/>
      <c r="E12" s="1244"/>
      <c r="F12" s="440"/>
      <c r="G12" s="441"/>
      <c r="H12" s="1236"/>
      <c r="I12" s="1236"/>
      <c r="J12" s="191"/>
      <c r="K12" s="1238"/>
      <c r="L12" s="1252"/>
      <c r="M12" s="1238"/>
      <c r="N12" s="1238"/>
      <c r="O12" s="1248"/>
      <c r="P12" s="1249"/>
      <c r="Q12" s="1250"/>
    </row>
    <row r="13" spans="1:17" ht="14.25" customHeight="1">
      <c r="A13" s="1239">
        <v>3</v>
      </c>
      <c r="B13" s="192"/>
      <c r="C13" s="1253"/>
      <c r="D13" s="563"/>
      <c r="E13" s="1254"/>
      <c r="F13" s="438"/>
      <c r="G13" s="439"/>
      <c r="H13" s="1235"/>
      <c r="I13" s="1235"/>
      <c r="J13" s="190"/>
      <c r="K13" s="1237">
        <f>IF(I13="","",I13*IF(E13="S",0.23,0.2)+IF(J13="",0,J13*J14*0.02))</f>
      </c>
      <c r="L13" s="1251"/>
      <c r="M13" s="1237">
        <f>IF(E13="","",IF(E13="D",24*(G14-F14+1),25*(G14-F14+1)))</f>
      </c>
      <c r="N13" s="1237">
        <f>IF(M13="","",L13+M13+IF(K13="",0,K13))</f>
      </c>
      <c r="O13" s="1245"/>
      <c r="P13" s="1246"/>
      <c r="Q13" s="1247"/>
    </row>
    <row r="14" spans="1:17" ht="14.25" customHeight="1" thickBot="1">
      <c r="A14" s="1240"/>
      <c r="B14" s="565"/>
      <c r="C14" s="1242"/>
      <c r="D14" s="564"/>
      <c r="E14" s="1244"/>
      <c r="F14" s="440"/>
      <c r="G14" s="441"/>
      <c r="H14" s="1236"/>
      <c r="I14" s="1236"/>
      <c r="J14" s="191"/>
      <c r="K14" s="1238"/>
      <c r="L14" s="1252"/>
      <c r="M14" s="1238"/>
      <c r="N14" s="1238"/>
      <c r="O14" s="1248"/>
      <c r="P14" s="1249"/>
      <c r="Q14" s="1250"/>
    </row>
    <row r="15" spans="1:17" ht="14.25" customHeight="1">
      <c r="A15" s="1239">
        <v>4</v>
      </c>
      <c r="B15" s="192"/>
      <c r="C15" s="1253"/>
      <c r="D15" s="563"/>
      <c r="E15" s="1254"/>
      <c r="F15" s="438"/>
      <c r="G15" s="439"/>
      <c r="H15" s="1235"/>
      <c r="I15" s="1235"/>
      <c r="J15" s="190"/>
      <c r="K15" s="1237">
        <f>IF(I15="","",I15*IF(E15="S",0.23,0.2)+IF(J15="",0,J15*J16*0.02))</f>
      </c>
      <c r="L15" s="1251"/>
      <c r="M15" s="1237">
        <f>IF(E15="","",IF(E15="D",24*(G16-F16+1),25*(G16-F16+1)))</f>
      </c>
      <c r="N15" s="1237">
        <f>IF(M15="","",L15+M15+IF(K15="",0,K15))</f>
      </c>
      <c r="O15" s="1245"/>
      <c r="P15" s="1246"/>
      <c r="Q15" s="1247"/>
    </row>
    <row r="16" spans="1:17" ht="14.25" customHeight="1" thickBot="1">
      <c r="A16" s="1240"/>
      <c r="B16" s="196"/>
      <c r="C16" s="1242"/>
      <c r="D16" s="564"/>
      <c r="E16" s="1244"/>
      <c r="F16" s="440"/>
      <c r="G16" s="441"/>
      <c r="H16" s="1236"/>
      <c r="I16" s="1236"/>
      <c r="J16" s="191"/>
      <c r="K16" s="1238"/>
      <c r="L16" s="1252"/>
      <c r="M16" s="1238"/>
      <c r="N16" s="1238"/>
      <c r="O16" s="1248"/>
      <c r="P16" s="1249"/>
      <c r="Q16" s="1250"/>
    </row>
    <row r="17" spans="1:17" ht="14.25" customHeight="1">
      <c r="A17" s="1239">
        <v>5</v>
      </c>
      <c r="B17" s="192"/>
      <c r="C17" s="1253"/>
      <c r="D17" s="563"/>
      <c r="E17" s="1254"/>
      <c r="F17" s="438"/>
      <c r="G17" s="439"/>
      <c r="H17" s="1235"/>
      <c r="I17" s="1235"/>
      <c r="J17" s="190"/>
      <c r="K17" s="1237">
        <f>IF(I17="","",I17*IF(E17="S",0.23,0.2)+IF(J17="",0,J17*J18*0.02))</f>
      </c>
      <c r="L17" s="1251"/>
      <c r="M17" s="1237">
        <f>IF(E17="","",IF(E17="D",24*(G18-F18+1),25*(G18-F18+1)))</f>
      </c>
      <c r="N17" s="1237">
        <f>IF(M17="","",L17+M17+IF(K17="",0,K17))</f>
      </c>
      <c r="O17" s="1245"/>
      <c r="P17" s="1246"/>
      <c r="Q17" s="1247"/>
    </row>
    <row r="18" spans="1:17" ht="14.25" customHeight="1" thickBot="1">
      <c r="A18" s="1240"/>
      <c r="B18" s="194"/>
      <c r="C18" s="1242"/>
      <c r="D18" s="564"/>
      <c r="E18" s="1244"/>
      <c r="F18" s="440"/>
      <c r="G18" s="441"/>
      <c r="H18" s="1236"/>
      <c r="I18" s="1236"/>
      <c r="J18" s="191"/>
      <c r="K18" s="1238"/>
      <c r="L18" s="1252"/>
      <c r="M18" s="1238"/>
      <c r="N18" s="1238"/>
      <c r="O18" s="1248"/>
      <c r="P18" s="1249"/>
      <c r="Q18" s="1250"/>
    </row>
    <row r="19" spans="1:17" s="84" customFormat="1" ht="14.25" customHeight="1">
      <c r="A19" s="1239">
        <v>6</v>
      </c>
      <c r="B19" s="192"/>
      <c r="C19" s="1241"/>
      <c r="D19" s="193"/>
      <c r="E19" s="1243"/>
      <c r="F19" s="438"/>
      <c r="G19" s="439"/>
      <c r="H19" s="1235"/>
      <c r="I19" s="1235"/>
      <c r="J19" s="190"/>
      <c r="K19" s="1237">
        <f>IF(I19="","",I19*IF(E19="S",0.23,0.2)+IF(J19="",0,J19*J20*0.02))</f>
      </c>
      <c r="L19" s="1251"/>
      <c r="M19" s="1237">
        <f>IF(E19="","",IF(E19="D",24*(G20-F20+1),25*(G20-F20+1)))</f>
      </c>
      <c r="N19" s="1237">
        <f>IF(M19="","",L19+M19+IF(K19="",0,K19))</f>
      </c>
      <c r="O19" s="1245"/>
      <c r="P19" s="1246"/>
      <c r="Q19" s="1247"/>
    </row>
    <row r="20" spans="1:17" ht="14.25" customHeight="1" thickBot="1">
      <c r="A20" s="1240"/>
      <c r="B20" s="194"/>
      <c r="C20" s="1242"/>
      <c r="D20" s="195"/>
      <c r="E20" s="1244"/>
      <c r="F20" s="440"/>
      <c r="G20" s="441"/>
      <c r="H20" s="1236"/>
      <c r="I20" s="1236"/>
      <c r="J20" s="191"/>
      <c r="K20" s="1238"/>
      <c r="L20" s="1252"/>
      <c r="M20" s="1238"/>
      <c r="N20" s="1238"/>
      <c r="O20" s="1248"/>
      <c r="P20" s="1249"/>
      <c r="Q20" s="1250"/>
    </row>
    <row r="21" spans="1:17" ht="14.25" customHeight="1">
      <c r="A21" s="1239">
        <v>7</v>
      </c>
      <c r="B21" s="197"/>
      <c r="C21" s="1241"/>
      <c r="D21" s="193"/>
      <c r="E21" s="1243"/>
      <c r="F21" s="438"/>
      <c r="G21" s="439"/>
      <c r="H21" s="1235"/>
      <c r="I21" s="1235"/>
      <c r="J21" s="190"/>
      <c r="K21" s="1237">
        <f>IF(I21="","",I21*IF(E21="S",0.23,0.2)+IF(J21="",0,J21*J22*0.02))</f>
      </c>
      <c r="L21" s="1251"/>
      <c r="M21" s="1237">
        <f>IF(E21="","",IF(E21="D",24*(G22-F22+1),25*(G22-F22+1)))</f>
      </c>
      <c r="N21" s="1237">
        <f>IF(M21="","",L21+M21+IF(K21="",0,K21))</f>
      </c>
      <c r="O21" s="1245"/>
      <c r="P21" s="1246"/>
      <c r="Q21" s="1247"/>
    </row>
    <row r="22" spans="1:17" ht="14.25" customHeight="1" thickBot="1">
      <c r="A22" s="1240"/>
      <c r="B22" s="194"/>
      <c r="C22" s="1242"/>
      <c r="D22" s="195"/>
      <c r="E22" s="1244"/>
      <c r="F22" s="440"/>
      <c r="G22" s="441"/>
      <c r="H22" s="1236"/>
      <c r="I22" s="1236"/>
      <c r="J22" s="191"/>
      <c r="K22" s="1238"/>
      <c r="L22" s="1252"/>
      <c r="M22" s="1238"/>
      <c r="N22" s="1238"/>
      <c r="O22" s="1248"/>
      <c r="P22" s="1249"/>
      <c r="Q22" s="1250"/>
    </row>
    <row r="23" spans="1:17" ht="14.25" customHeight="1">
      <c r="A23" s="1239">
        <v>8</v>
      </c>
      <c r="B23" s="192"/>
      <c r="C23" s="1241"/>
      <c r="D23" s="193"/>
      <c r="E23" s="1243"/>
      <c r="F23" s="438"/>
      <c r="G23" s="439"/>
      <c r="H23" s="1235"/>
      <c r="I23" s="1235"/>
      <c r="J23" s="190"/>
      <c r="K23" s="1237">
        <f>IF(I23="","",I23*IF(E23="S",0.23,0.2)+IF(J23="",0,J23*J24*0.02))</f>
      </c>
      <c r="L23" s="1251"/>
      <c r="M23" s="1237">
        <f>IF(E23="","",IF(E23="D",24*(G24-F24+1),25*(G24-F24+1)))</f>
      </c>
      <c r="N23" s="1237">
        <f>IF(M23="","",L23+M23+IF(K23="",0,K23))</f>
      </c>
      <c r="O23" s="1245"/>
      <c r="P23" s="1246"/>
      <c r="Q23" s="1247"/>
    </row>
    <row r="24" spans="1:17" ht="14.25" customHeight="1" thickBot="1">
      <c r="A24" s="1240"/>
      <c r="B24" s="194"/>
      <c r="C24" s="1242"/>
      <c r="D24" s="195"/>
      <c r="E24" s="1244"/>
      <c r="F24" s="440"/>
      <c r="G24" s="441"/>
      <c r="H24" s="1236"/>
      <c r="I24" s="1236"/>
      <c r="J24" s="191"/>
      <c r="K24" s="1238"/>
      <c r="L24" s="1252"/>
      <c r="M24" s="1238"/>
      <c r="N24" s="1238"/>
      <c r="O24" s="1248"/>
      <c r="P24" s="1249"/>
      <c r="Q24" s="1250"/>
    </row>
    <row r="25" spans="1:17" ht="14.25" customHeight="1">
      <c r="A25" s="1239">
        <v>9</v>
      </c>
      <c r="B25" s="192"/>
      <c r="C25" s="1241"/>
      <c r="D25" s="193"/>
      <c r="E25" s="1243"/>
      <c r="F25" s="438"/>
      <c r="G25" s="439"/>
      <c r="H25" s="1235"/>
      <c r="I25" s="1235"/>
      <c r="J25" s="190"/>
      <c r="K25" s="1237">
        <f>IF(I25="","",I25*IF(E25="S",0.23,0.2)+IF(J25="",0,J25*J26*0.02))</f>
      </c>
      <c r="L25" s="1251"/>
      <c r="M25" s="1237">
        <f>IF(E25="","",IF(E25="D",24*(G26-F26+1),25*(G26-F26+1)))</f>
      </c>
      <c r="N25" s="1237">
        <f>IF(M25="","",L25+M25+IF(K25="",0,K25))</f>
      </c>
      <c r="O25" s="1245"/>
      <c r="P25" s="1246"/>
      <c r="Q25" s="1247"/>
    </row>
    <row r="26" spans="1:17" ht="14.25" customHeight="1" thickBot="1">
      <c r="A26" s="1240"/>
      <c r="B26" s="194"/>
      <c r="C26" s="1242"/>
      <c r="D26" s="195"/>
      <c r="E26" s="1244"/>
      <c r="F26" s="440"/>
      <c r="G26" s="441"/>
      <c r="H26" s="1236"/>
      <c r="I26" s="1236"/>
      <c r="J26" s="191"/>
      <c r="K26" s="1238"/>
      <c r="L26" s="1252"/>
      <c r="M26" s="1238"/>
      <c r="N26" s="1238"/>
      <c r="O26" s="1248"/>
      <c r="P26" s="1249"/>
      <c r="Q26" s="1250"/>
    </row>
    <row r="27" spans="1:17" ht="14.25" customHeight="1">
      <c r="A27" s="1239">
        <v>10</v>
      </c>
      <c r="B27" s="192"/>
      <c r="C27" s="1241"/>
      <c r="D27" s="193"/>
      <c r="E27" s="1243"/>
      <c r="F27" s="438"/>
      <c r="G27" s="439"/>
      <c r="H27" s="1235"/>
      <c r="I27" s="1235"/>
      <c r="J27" s="190"/>
      <c r="K27" s="1237">
        <f>IF(I27="","",I27*IF(E27="S",0.23,0.2)+IF(J27="",0,J27*J28*0.02))</f>
      </c>
      <c r="L27" s="1251"/>
      <c r="M27" s="1237">
        <f>IF(E27="","",IF(E27="D",24*(G28-F28+1),25*(G28-F28+1)))</f>
      </c>
      <c r="N27" s="1237">
        <f>IF(M27="","",L27+M27+IF(K27="",0,K27))</f>
      </c>
      <c r="O27" s="1245"/>
      <c r="P27" s="1246"/>
      <c r="Q27" s="1247"/>
    </row>
    <row r="28" spans="1:17" ht="14.25" customHeight="1" thickBot="1">
      <c r="A28" s="1240"/>
      <c r="B28" s="194"/>
      <c r="C28" s="1242"/>
      <c r="D28" s="195"/>
      <c r="E28" s="1244"/>
      <c r="F28" s="440"/>
      <c r="G28" s="441"/>
      <c r="H28" s="1236"/>
      <c r="I28" s="1236"/>
      <c r="J28" s="191"/>
      <c r="K28" s="1238"/>
      <c r="L28" s="1252"/>
      <c r="M28" s="1238"/>
      <c r="N28" s="1238"/>
      <c r="O28" s="1248"/>
      <c r="P28" s="1249"/>
      <c r="Q28" s="1250"/>
    </row>
    <row r="29" ht="12.75">
      <c r="A29" s="184"/>
    </row>
    <row r="30" spans="1:6" ht="12.75">
      <c r="A30" s="184" t="s">
        <v>183</v>
      </c>
      <c r="C30" s="184" t="s">
        <v>201</v>
      </c>
      <c r="F30" s="184" t="s">
        <v>184</v>
      </c>
    </row>
    <row r="31" spans="1:14" ht="12.75">
      <c r="A31" s="184"/>
      <c r="C31" s="162" t="s">
        <v>302</v>
      </c>
      <c r="K31" s="205" t="s">
        <v>205</v>
      </c>
      <c r="L31" s="198"/>
      <c r="M31" s="198"/>
      <c r="N31" s="206">
        <f>IF(SUM(N9:N28)=0,"",SUM(N9:N28))</f>
      </c>
    </row>
    <row r="32" ht="12.75">
      <c r="A32" s="184" t="s">
        <v>206</v>
      </c>
    </row>
    <row r="33" ht="12.75">
      <c r="A33" s="184"/>
    </row>
    <row r="34" spans="2:6" ht="12.75">
      <c r="B34" s="517" t="s">
        <v>163</v>
      </c>
      <c r="C34" s="1265">
        <v>41119</v>
      </c>
      <c r="D34" s="1265"/>
      <c r="F34" s="184" t="s">
        <v>208</v>
      </c>
    </row>
    <row r="35" ht="12.75">
      <c r="A35" s="184"/>
    </row>
  </sheetData>
  <sheetProtection sheet="1" objects="1" scenarios="1" selectLockedCells="1"/>
  <mergeCells count="114">
    <mergeCell ref="C34:D34"/>
    <mergeCell ref="C1:N1"/>
    <mergeCell ref="C2:N2"/>
    <mergeCell ref="C3:F3"/>
    <mergeCell ref="I3:J3"/>
    <mergeCell ref="L3:M3"/>
    <mergeCell ref="A5:M5"/>
    <mergeCell ref="N5:Q5"/>
    <mergeCell ref="E9:E10"/>
    <mergeCell ref="H9:H10"/>
    <mergeCell ref="C7:C8"/>
    <mergeCell ref="E7:E8"/>
    <mergeCell ref="O7:Q8"/>
    <mergeCell ref="F8:G8"/>
    <mergeCell ref="I13:I14"/>
    <mergeCell ref="K13:K14"/>
    <mergeCell ref="I11:I12"/>
    <mergeCell ref="K11:K12"/>
    <mergeCell ref="A6:M6"/>
    <mergeCell ref="N6:Q6"/>
    <mergeCell ref="L11:L12"/>
    <mergeCell ref="M11:M12"/>
    <mergeCell ref="I9:I10"/>
    <mergeCell ref="K9:K10"/>
    <mergeCell ref="L9:L10"/>
    <mergeCell ref="M9:M10"/>
    <mergeCell ref="A9:A10"/>
    <mergeCell ref="C9:C10"/>
    <mergeCell ref="A13:A14"/>
    <mergeCell ref="C13:C14"/>
    <mergeCell ref="E13:E14"/>
    <mergeCell ref="H13:H14"/>
    <mergeCell ref="N9:N10"/>
    <mergeCell ref="O9:Q10"/>
    <mergeCell ref="A11:A12"/>
    <mergeCell ref="C11:C12"/>
    <mergeCell ref="E11:E12"/>
    <mergeCell ref="H11:H12"/>
    <mergeCell ref="L15:L16"/>
    <mergeCell ref="M15:M16"/>
    <mergeCell ref="N11:N12"/>
    <mergeCell ref="O11:Q12"/>
    <mergeCell ref="L13:L14"/>
    <mergeCell ref="M13:M14"/>
    <mergeCell ref="N13:N14"/>
    <mergeCell ref="O13:Q14"/>
    <mergeCell ref="N15:N16"/>
    <mergeCell ref="O15:Q16"/>
    <mergeCell ref="A15:A16"/>
    <mergeCell ref="C15:C16"/>
    <mergeCell ref="E15:E16"/>
    <mergeCell ref="H15:H16"/>
    <mergeCell ref="I15:I16"/>
    <mergeCell ref="K15:K16"/>
    <mergeCell ref="L19:L20"/>
    <mergeCell ref="M19:M20"/>
    <mergeCell ref="I17:I18"/>
    <mergeCell ref="K17:K18"/>
    <mergeCell ref="I19:I20"/>
    <mergeCell ref="K19:K20"/>
    <mergeCell ref="L17:L18"/>
    <mergeCell ref="M17:M18"/>
    <mergeCell ref="A17:A18"/>
    <mergeCell ref="C17:C18"/>
    <mergeCell ref="E17:E18"/>
    <mergeCell ref="H17:H18"/>
    <mergeCell ref="L21:L22"/>
    <mergeCell ref="M21:M22"/>
    <mergeCell ref="A19:A20"/>
    <mergeCell ref="C19:C20"/>
    <mergeCell ref="E19:E20"/>
    <mergeCell ref="H19:H20"/>
    <mergeCell ref="N17:N18"/>
    <mergeCell ref="O17:Q18"/>
    <mergeCell ref="N19:N20"/>
    <mergeCell ref="O19:Q20"/>
    <mergeCell ref="N21:N22"/>
    <mergeCell ref="O21:Q22"/>
    <mergeCell ref="A21:A22"/>
    <mergeCell ref="C21:C22"/>
    <mergeCell ref="E21:E22"/>
    <mergeCell ref="H21:H22"/>
    <mergeCell ref="I21:I22"/>
    <mergeCell ref="K21:K22"/>
    <mergeCell ref="L25:L26"/>
    <mergeCell ref="M25:M26"/>
    <mergeCell ref="I23:I24"/>
    <mergeCell ref="K23:K24"/>
    <mergeCell ref="I25:I26"/>
    <mergeCell ref="K25:K26"/>
    <mergeCell ref="L23:L24"/>
    <mergeCell ref="M23:M24"/>
    <mergeCell ref="A23:A24"/>
    <mergeCell ref="C23:C24"/>
    <mergeCell ref="E23:E24"/>
    <mergeCell ref="H23:H24"/>
    <mergeCell ref="L27:L28"/>
    <mergeCell ref="M27:M28"/>
    <mergeCell ref="A25:A26"/>
    <mergeCell ref="C25:C26"/>
    <mergeCell ref="E25:E26"/>
    <mergeCell ref="H25:H26"/>
    <mergeCell ref="N23:N24"/>
    <mergeCell ref="O23:Q24"/>
    <mergeCell ref="N27:N28"/>
    <mergeCell ref="O27:Q28"/>
    <mergeCell ref="N25:N26"/>
    <mergeCell ref="O25:Q26"/>
    <mergeCell ref="I27:I28"/>
    <mergeCell ref="K27:K28"/>
    <mergeCell ref="A27:A28"/>
    <mergeCell ref="C27:C28"/>
    <mergeCell ref="E27:E28"/>
    <mergeCell ref="H27:H28"/>
  </mergeCells>
  <printOptions/>
  <pageMargins left="0.3937007874015748" right="0.7874015748031497" top="0.5905511811023623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V176"/>
  <sheetViews>
    <sheetView tabSelected="1" zoomScalePageLayoutView="0" workbookViewId="0" topLeftCell="A1">
      <selection activeCell="U150" sqref="U150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6" width="8.57421875" style="613" hidden="1" customWidth="1"/>
    <col min="7" max="8" width="4.28125" style="613" hidden="1" customWidth="1"/>
    <col min="9" max="9" width="3.7109375" style="23" customWidth="1"/>
    <col min="10" max="10" width="4.7109375" style="23" customWidth="1"/>
    <col min="11" max="11" width="16.7109375" style="0" customWidth="1"/>
    <col min="12" max="13" width="3.7109375" style="613" hidden="1" customWidth="1"/>
    <col min="14" max="15" width="4.7109375" style="23" customWidth="1"/>
    <col min="16" max="16" width="16.7109375" style="0" customWidth="1"/>
    <col min="17" max="18" width="3.7109375" style="613" hidden="1" customWidth="1"/>
    <col min="19" max="20" width="4.7109375" style="23" customWidth="1"/>
    <col min="21" max="21" width="16.7109375" style="0" customWidth="1"/>
    <col min="22" max="23" width="3.7109375" style="613" hidden="1" customWidth="1"/>
    <col min="24" max="25" width="4.7109375" style="23" customWidth="1"/>
    <col min="26" max="26" width="16.7109375" style="0" customWidth="1"/>
    <col min="27" max="28" width="3.7109375" style="0" hidden="1" customWidth="1"/>
    <col min="29" max="30" width="4.7109375" style="12" hidden="1" customWidth="1"/>
    <col min="31" max="31" width="18.7109375" style="10" hidden="1" customWidth="1"/>
    <col min="32" max="33" width="4.7109375" style="12" hidden="1" customWidth="1"/>
    <col min="34" max="34" width="18.7109375" style="10" hidden="1" customWidth="1"/>
    <col min="35" max="36" width="4.7109375" style="12" hidden="1" customWidth="1"/>
    <col min="37" max="37" width="18.7109375" style="10" hidden="1" customWidth="1"/>
    <col min="38" max="39" width="4.7109375" style="12" hidden="1" customWidth="1"/>
    <col min="40" max="40" width="18.7109375" style="10" hidden="1" customWidth="1"/>
    <col min="41" max="42" width="4.7109375" style="12" hidden="1" customWidth="1"/>
    <col min="43" max="43" width="18.7109375" style="10" hidden="1" customWidth="1"/>
    <col min="44" max="44" width="5.57421875" style="11" hidden="1" customWidth="1"/>
  </cols>
  <sheetData>
    <row r="1" spans="2:44" s="184" customFormat="1" ht="27" customHeight="1">
      <c r="B1" s="228"/>
      <c r="C1" s="229"/>
      <c r="D1" s="690" t="s">
        <v>123</v>
      </c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AC1" s="228"/>
      <c r="AD1" s="228"/>
      <c r="AE1" s="230"/>
      <c r="AF1" s="228"/>
      <c r="AG1" s="228"/>
      <c r="AH1" s="230"/>
      <c r="AI1" s="228"/>
      <c r="AJ1" s="228"/>
      <c r="AK1" s="230"/>
      <c r="AL1" s="228"/>
      <c r="AM1" s="228"/>
      <c r="AN1" s="230"/>
      <c r="AO1" s="228"/>
      <c r="AP1" s="228"/>
      <c r="AQ1" s="230"/>
      <c r="AR1" s="247"/>
    </row>
    <row r="2" spans="4:46" s="184" customFormat="1" ht="23.25" customHeight="1">
      <c r="D2" s="686" t="s">
        <v>358</v>
      </c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AC2" s="231"/>
      <c r="AD2" s="231"/>
      <c r="AE2" s="230"/>
      <c r="AF2" s="228"/>
      <c r="AG2" s="228"/>
      <c r="AH2" s="230"/>
      <c r="AI2" s="228"/>
      <c r="AJ2" s="228"/>
      <c r="AK2" s="230"/>
      <c r="AL2" s="228"/>
      <c r="AM2" s="228"/>
      <c r="AN2" s="230"/>
      <c r="AO2" s="228"/>
      <c r="AP2" s="228"/>
      <c r="AQ2" s="230"/>
      <c r="AR2" s="247"/>
      <c r="AS2" s="230" t="s">
        <v>135</v>
      </c>
      <c r="AT2" s="230"/>
    </row>
    <row r="3" spans="4:48" s="184" customFormat="1" ht="15.75" customHeight="1">
      <c r="D3" s="232"/>
      <c r="E3" s="693" t="s">
        <v>149</v>
      </c>
      <c r="F3" s="693"/>
      <c r="G3" s="693"/>
      <c r="H3" s="693"/>
      <c r="I3" s="693"/>
      <c r="J3" s="693"/>
      <c r="K3" s="267" t="s">
        <v>359</v>
      </c>
      <c r="L3" s="267"/>
      <c r="M3" s="267"/>
      <c r="N3" s="162"/>
      <c r="P3" s="185"/>
      <c r="Q3" s="614"/>
      <c r="R3" s="614"/>
      <c r="T3" s="650"/>
      <c r="U3" s="144"/>
      <c r="V3" s="616"/>
      <c r="W3" s="616"/>
      <c r="X3" s="694"/>
      <c r="Y3" s="694"/>
      <c r="AC3" s="231"/>
      <c r="AD3" s="231"/>
      <c r="AE3" s="230"/>
      <c r="AF3" s="228"/>
      <c r="AG3" s="228"/>
      <c r="AH3" s="230"/>
      <c r="AI3" s="228"/>
      <c r="AJ3" s="228"/>
      <c r="AK3" s="230"/>
      <c r="AL3" s="228"/>
      <c r="AM3" s="228"/>
      <c r="AN3" s="230"/>
      <c r="AO3" s="228"/>
      <c r="AP3" s="228"/>
      <c r="AQ3" s="230"/>
      <c r="AR3" s="247"/>
      <c r="AS3" s="230" t="s">
        <v>136</v>
      </c>
      <c r="AT3" s="230"/>
      <c r="AU3" s="230"/>
      <c r="AV3" s="230"/>
    </row>
    <row r="4" spans="6:47" s="184" customFormat="1" ht="18" customHeight="1">
      <c r="F4" s="606"/>
      <c r="G4" s="606"/>
      <c r="H4" s="606"/>
      <c r="I4" s="691" t="s">
        <v>360</v>
      </c>
      <c r="J4" s="691"/>
      <c r="K4" s="691"/>
      <c r="L4" s="607"/>
      <c r="M4" s="607"/>
      <c r="N4" s="233"/>
      <c r="O4" s="234"/>
      <c r="P4" s="83">
        <v>43715</v>
      </c>
      <c r="Q4" s="615"/>
      <c r="R4" s="615"/>
      <c r="S4" s="235" t="s">
        <v>108</v>
      </c>
      <c r="T4" s="692">
        <f>IF(P4="Dat 1.Tg","Dat 2.Tg",P4+1)</f>
        <v>43716</v>
      </c>
      <c r="U4" s="692"/>
      <c r="V4" s="617"/>
      <c r="W4" s="617"/>
      <c r="AC4" s="231"/>
      <c r="AD4" s="231"/>
      <c r="AE4" s="230"/>
      <c r="AF4" s="228"/>
      <c r="AG4" s="228"/>
      <c r="AH4" s="230"/>
      <c r="AI4" s="228"/>
      <c r="AJ4" s="228"/>
      <c r="AK4" s="230"/>
      <c r="AL4" s="228"/>
      <c r="AM4" s="228"/>
      <c r="AN4" s="230"/>
      <c r="AO4" s="228"/>
      <c r="AP4" s="228"/>
      <c r="AQ4" s="230"/>
      <c r="AR4" s="247"/>
      <c r="AS4" s="230" t="s">
        <v>137</v>
      </c>
      <c r="AT4" s="230"/>
      <c r="AU4" s="230"/>
    </row>
    <row r="5" spans="1:46" s="184" customFormat="1" ht="18" customHeight="1">
      <c r="A5" s="711" t="s">
        <v>116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168"/>
      <c r="M5" s="168"/>
      <c r="N5" s="691" t="s">
        <v>361</v>
      </c>
      <c r="O5" s="691"/>
      <c r="P5" s="691"/>
      <c r="Q5" s="691"/>
      <c r="R5" s="691"/>
      <c r="S5" s="691"/>
      <c r="T5" s="691"/>
      <c r="V5" s="606"/>
      <c r="W5" s="606"/>
      <c r="AC5" s="231"/>
      <c r="AD5" s="231"/>
      <c r="AE5" s="230"/>
      <c r="AF5" s="228"/>
      <c r="AG5" s="228"/>
      <c r="AH5" s="230"/>
      <c r="AI5" s="228"/>
      <c r="AJ5" s="228"/>
      <c r="AK5" s="230"/>
      <c r="AL5" s="228"/>
      <c r="AM5" s="228"/>
      <c r="AN5" s="230"/>
      <c r="AO5" s="228"/>
      <c r="AP5" s="228"/>
      <c r="AQ5" s="230"/>
      <c r="AR5" s="247"/>
      <c r="AS5" s="230" t="s">
        <v>138</v>
      </c>
      <c r="AT5" s="230"/>
    </row>
    <row r="6" spans="1:44" s="184" customFormat="1" ht="18" customHeight="1">
      <c r="A6" s="712" t="s">
        <v>80</v>
      </c>
      <c r="B6" s="712"/>
      <c r="C6" s="712"/>
      <c r="D6" s="712"/>
      <c r="E6" s="712"/>
      <c r="F6" s="712"/>
      <c r="G6" s="712"/>
      <c r="H6" s="712"/>
      <c r="I6" s="713"/>
      <c r="J6" s="713"/>
      <c r="K6" s="712"/>
      <c r="L6" s="712"/>
      <c r="M6" s="712"/>
      <c r="N6" s="713"/>
      <c r="O6" s="713"/>
      <c r="P6" s="712"/>
      <c r="Q6" s="712"/>
      <c r="R6" s="712"/>
      <c r="S6" s="713"/>
      <c r="T6" s="713"/>
      <c r="U6" s="712"/>
      <c r="V6" s="712"/>
      <c r="W6" s="712"/>
      <c r="X6" s="713"/>
      <c r="Y6" s="713"/>
      <c r="Z6" s="712"/>
      <c r="AA6" s="600"/>
      <c r="AB6" s="600"/>
      <c r="AC6" s="236"/>
      <c r="AD6" s="236"/>
      <c r="AE6" s="230"/>
      <c r="AF6" s="228"/>
      <c r="AG6" s="228"/>
      <c r="AH6" s="230"/>
      <c r="AI6" s="228"/>
      <c r="AJ6" s="228"/>
      <c r="AK6" s="230"/>
      <c r="AL6" s="228"/>
      <c r="AM6" s="228"/>
      <c r="AN6" s="230"/>
      <c r="AO6" s="228"/>
      <c r="AP6" s="228"/>
      <c r="AQ6" s="230"/>
      <c r="AR6" s="247"/>
    </row>
    <row r="7" spans="1:44" s="184" customFormat="1" ht="15" customHeight="1">
      <c r="A7" s="714" t="s">
        <v>5</v>
      </c>
      <c r="B7" s="714"/>
      <c r="C7" s="714"/>
      <c r="D7" s="714"/>
      <c r="E7" s="714"/>
      <c r="F7" s="714"/>
      <c r="G7" s="714"/>
      <c r="H7" s="714"/>
      <c r="I7" s="715"/>
      <c r="J7" s="715"/>
      <c r="K7" s="714"/>
      <c r="L7" s="714"/>
      <c r="M7" s="714"/>
      <c r="N7" s="715"/>
      <c r="O7" s="715"/>
      <c r="P7" s="714"/>
      <c r="Q7" s="714"/>
      <c r="R7" s="714"/>
      <c r="S7" s="715"/>
      <c r="T7" s="715"/>
      <c r="U7" s="714"/>
      <c r="V7" s="714"/>
      <c r="W7" s="714"/>
      <c r="X7" s="715"/>
      <c r="Y7" s="715"/>
      <c r="Z7" s="714"/>
      <c r="AA7" s="601"/>
      <c r="AB7" s="601"/>
      <c r="AC7" s="237"/>
      <c r="AD7" s="237"/>
      <c r="AE7" s="230"/>
      <c r="AF7" s="228"/>
      <c r="AG7" s="228"/>
      <c r="AH7" s="230"/>
      <c r="AI7" s="228"/>
      <c r="AJ7" s="228"/>
      <c r="AK7" s="230"/>
      <c r="AL7" s="228"/>
      <c r="AM7" s="228"/>
      <c r="AN7" s="230"/>
      <c r="AO7" s="228"/>
      <c r="AP7" s="228"/>
      <c r="AQ7" s="230"/>
      <c r="AR7" s="247"/>
    </row>
    <row r="8" spans="1:44" s="184" customFormat="1" ht="15" customHeight="1" thickBot="1">
      <c r="A8" s="601"/>
      <c r="B8" s="601"/>
      <c r="C8" s="710"/>
      <c r="D8" s="710"/>
      <c r="E8" s="710"/>
      <c r="F8" s="710"/>
      <c r="G8" s="710"/>
      <c r="H8" s="710"/>
      <c r="I8" s="710"/>
      <c r="J8" s="710"/>
      <c r="K8" s="710"/>
      <c r="L8" s="601"/>
      <c r="M8" s="601"/>
      <c r="N8" s="642"/>
      <c r="O8" s="642"/>
      <c r="Q8" s="601"/>
      <c r="R8" s="601"/>
      <c r="S8" s="710"/>
      <c r="T8" s="710"/>
      <c r="U8" s="710"/>
      <c r="V8" s="710"/>
      <c r="W8" s="710"/>
      <c r="X8" s="710"/>
      <c r="Y8" s="710"/>
      <c r="Z8" s="710"/>
      <c r="AA8" s="601"/>
      <c r="AB8" s="601"/>
      <c r="AC8" s="237"/>
      <c r="AD8" s="237"/>
      <c r="AE8" s="230"/>
      <c r="AF8" s="228"/>
      <c r="AG8" s="228"/>
      <c r="AH8" s="230"/>
      <c r="AI8" s="228"/>
      <c r="AJ8" s="228"/>
      <c r="AK8" s="230"/>
      <c r="AL8" s="228"/>
      <c r="AM8" s="228"/>
      <c r="AN8" s="230"/>
      <c r="AO8" s="228"/>
      <c r="AP8" s="228"/>
      <c r="AQ8" s="230"/>
      <c r="AR8" s="247"/>
    </row>
    <row r="9" spans="1:44" s="234" customFormat="1" ht="12.75" customHeight="1" thickBot="1" thickTop="1">
      <c r="A9" s="705" t="s">
        <v>102</v>
      </c>
      <c r="B9" s="238"/>
      <c r="C9" s="702" t="s">
        <v>102</v>
      </c>
      <c r="D9" s="703"/>
      <c r="E9" s="704"/>
      <c r="F9" s="603"/>
      <c r="G9" s="603"/>
      <c r="H9" s="603"/>
      <c r="I9" s="702" t="s">
        <v>102</v>
      </c>
      <c r="J9" s="703"/>
      <c r="K9" s="704"/>
      <c r="L9" s="603"/>
      <c r="M9" s="603"/>
      <c r="N9" s="702" t="s">
        <v>102</v>
      </c>
      <c r="O9" s="703"/>
      <c r="P9" s="704"/>
      <c r="Q9" s="603"/>
      <c r="R9" s="603"/>
      <c r="S9" s="702" t="s">
        <v>102</v>
      </c>
      <c r="T9" s="703"/>
      <c r="U9" s="704"/>
      <c r="V9" s="603"/>
      <c r="W9" s="603"/>
      <c r="X9" s="702" t="s">
        <v>102</v>
      </c>
      <c r="Y9" s="703"/>
      <c r="Z9" s="704"/>
      <c r="AA9" s="620"/>
      <c r="AB9" s="620"/>
      <c r="AC9" s="237"/>
      <c r="AD9" s="237"/>
      <c r="AE9" s="230"/>
      <c r="AF9" s="228"/>
      <c r="AG9" s="228"/>
      <c r="AH9" s="230"/>
      <c r="AI9" s="228"/>
      <c r="AJ9" s="228"/>
      <c r="AK9" s="230"/>
      <c r="AL9" s="228"/>
      <c r="AM9" s="228"/>
      <c r="AN9" s="230"/>
      <c r="AO9" s="228"/>
      <c r="AP9" s="228"/>
      <c r="AQ9" s="230"/>
      <c r="AR9" s="247"/>
    </row>
    <row r="10" spans="1:46" s="234" customFormat="1" ht="12.75" customHeight="1" thickTop="1">
      <c r="A10" s="706"/>
      <c r="B10" s="239"/>
      <c r="C10" s="687" t="s">
        <v>348</v>
      </c>
      <c r="D10" s="688"/>
      <c r="E10" s="689"/>
      <c r="F10" s="604"/>
      <c r="G10" s="604"/>
      <c r="H10" s="604"/>
      <c r="I10" s="687" t="s">
        <v>362</v>
      </c>
      <c r="J10" s="688"/>
      <c r="K10" s="689"/>
      <c r="L10" s="604"/>
      <c r="M10" s="604"/>
      <c r="N10" s="687" t="s">
        <v>347</v>
      </c>
      <c r="O10" s="688"/>
      <c r="P10" s="689"/>
      <c r="Q10" s="604"/>
      <c r="R10" s="604"/>
      <c r="S10" s="687" t="s">
        <v>353</v>
      </c>
      <c r="T10" s="688"/>
      <c r="U10" s="689"/>
      <c r="V10" s="604"/>
      <c r="W10" s="604"/>
      <c r="X10" s="687" t="s">
        <v>349</v>
      </c>
      <c r="Y10" s="688"/>
      <c r="Z10" s="689"/>
      <c r="AA10" s="621"/>
      <c r="AB10" s="621"/>
      <c r="AC10" s="237"/>
      <c r="AD10" s="237"/>
      <c r="AE10" s="230"/>
      <c r="AF10" s="228"/>
      <c r="AG10" s="228"/>
      <c r="AH10" s="230"/>
      <c r="AI10" s="228"/>
      <c r="AJ10" s="228"/>
      <c r="AK10" s="230"/>
      <c r="AL10" s="228"/>
      <c r="AM10" s="228"/>
      <c r="AN10" s="230"/>
      <c r="AO10" s="228"/>
      <c r="AP10" s="228"/>
      <c r="AQ10" s="230"/>
      <c r="AR10" s="247"/>
      <c r="AS10" s="230" t="s">
        <v>303</v>
      </c>
      <c r="AT10" s="230"/>
    </row>
    <row r="11" spans="1:46" s="184" customFormat="1" ht="12.75" customHeight="1" thickBot="1">
      <c r="A11" s="707"/>
      <c r="B11" s="240"/>
      <c r="C11" s="696" t="s">
        <v>365</v>
      </c>
      <c r="D11" s="697"/>
      <c r="E11" s="698"/>
      <c r="F11" s="602"/>
      <c r="G11" s="602" t="e">
        <f>S30</f>
        <v>#VALUE!</v>
      </c>
      <c r="H11" s="602" t="e">
        <f>T30</f>
        <v>#VALUE!</v>
      </c>
      <c r="I11" s="696" t="s">
        <v>364</v>
      </c>
      <c r="J11" s="697"/>
      <c r="K11" s="698"/>
      <c r="L11" s="602" t="e">
        <f>S31</f>
        <v>#VALUE!</v>
      </c>
      <c r="M11" s="602" t="e">
        <f>T31</f>
        <v>#VALUE!</v>
      </c>
      <c r="N11" s="696" t="s">
        <v>369</v>
      </c>
      <c r="O11" s="697"/>
      <c r="P11" s="698"/>
      <c r="Q11" s="602" t="e">
        <f>S32</f>
        <v>#VALUE!</v>
      </c>
      <c r="R11" s="602" t="e">
        <f>T32</f>
        <v>#VALUE!</v>
      </c>
      <c r="S11" s="696" t="s">
        <v>367</v>
      </c>
      <c r="T11" s="697"/>
      <c r="U11" s="698"/>
      <c r="V11" s="602" t="e">
        <f>S33</f>
        <v>#VALUE!</v>
      </c>
      <c r="W11" s="602" t="e">
        <f>T33</f>
        <v>#VALUE!</v>
      </c>
      <c r="X11" s="696" t="s">
        <v>379</v>
      </c>
      <c r="Y11" s="697"/>
      <c r="Z11" s="698"/>
      <c r="AA11" s="621" t="e">
        <f>S34</f>
        <v>#VALUE!</v>
      </c>
      <c r="AB11" s="621" t="e">
        <f>T34</f>
        <v>#VALUE!</v>
      </c>
      <c r="AC11" s="184" t="str">
        <f>C146</f>
        <v>TV Segnitz</v>
      </c>
      <c r="AF11" s="184" t="str">
        <f>I146</f>
        <v>TV Hallerstein</v>
      </c>
      <c r="AI11" s="184" t="str">
        <f>N146</f>
        <v>Ahlhorner SV</v>
      </c>
      <c r="AL11" s="184" t="str">
        <f>S146</f>
        <v>TV Brettorf</v>
      </c>
      <c r="AO11" s="695" t="str">
        <f>X146</f>
        <v>TSV Lola</v>
      </c>
      <c r="AP11" s="695"/>
      <c r="AQ11" s="695"/>
      <c r="AR11" s="606"/>
      <c r="AS11" s="230" t="s">
        <v>102</v>
      </c>
      <c r="AT11" s="230"/>
    </row>
    <row r="12" spans="1:44" s="234" customFormat="1" ht="12.75" customHeight="1" thickBot="1" thickTop="1">
      <c r="A12" s="699" t="s">
        <v>37</v>
      </c>
      <c r="B12" s="241"/>
      <c r="C12" s="159" t="s">
        <v>105</v>
      </c>
      <c r="D12" s="160" t="s">
        <v>18</v>
      </c>
      <c r="E12" s="161" t="s">
        <v>106</v>
      </c>
      <c r="F12" s="609"/>
      <c r="G12" s="609"/>
      <c r="H12" s="609"/>
      <c r="I12" s="159" t="s">
        <v>105</v>
      </c>
      <c r="J12" s="160" t="s">
        <v>18</v>
      </c>
      <c r="K12" s="161" t="s">
        <v>106</v>
      </c>
      <c r="L12" s="609"/>
      <c r="M12" s="609"/>
      <c r="N12" s="159" t="s">
        <v>105</v>
      </c>
      <c r="O12" s="160" t="s">
        <v>18</v>
      </c>
      <c r="P12" s="161" t="s">
        <v>106</v>
      </c>
      <c r="Q12" s="609"/>
      <c r="R12" s="609"/>
      <c r="S12" s="159" t="s">
        <v>105</v>
      </c>
      <c r="T12" s="160" t="s">
        <v>18</v>
      </c>
      <c r="U12" s="161" t="s">
        <v>106</v>
      </c>
      <c r="V12" s="609"/>
      <c r="W12" s="609"/>
      <c r="X12" s="159" t="s">
        <v>105</v>
      </c>
      <c r="Y12" s="160" t="s">
        <v>18</v>
      </c>
      <c r="Z12" s="161" t="s">
        <v>106</v>
      </c>
      <c r="AA12" s="622"/>
      <c r="AB12" s="622"/>
      <c r="AO12" s="242"/>
      <c r="AP12" s="242"/>
      <c r="AQ12" s="242"/>
      <c r="AR12" s="242"/>
    </row>
    <row r="13" spans="1:44" s="228" customFormat="1" ht="12.75" customHeight="1" hidden="1" thickBot="1">
      <c r="A13" s="700"/>
      <c r="B13" s="243"/>
      <c r="C13" s="244">
        <v>10</v>
      </c>
      <c r="D13" s="244"/>
      <c r="E13" s="245"/>
      <c r="F13" s="610"/>
      <c r="G13" s="610"/>
      <c r="H13" s="610"/>
      <c r="I13" s="244">
        <v>22</v>
      </c>
      <c r="J13" s="244"/>
      <c r="K13" s="245"/>
      <c r="L13" s="610"/>
      <c r="M13" s="610"/>
      <c r="N13" s="244">
        <v>34</v>
      </c>
      <c r="O13" s="244"/>
      <c r="P13" s="245"/>
      <c r="Q13" s="610"/>
      <c r="R13" s="610"/>
      <c r="S13" s="244">
        <v>46</v>
      </c>
      <c r="T13" s="244"/>
      <c r="U13" s="245"/>
      <c r="V13" s="610"/>
      <c r="W13" s="610"/>
      <c r="X13" s="244">
        <v>58</v>
      </c>
      <c r="Y13" s="244"/>
      <c r="Z13" s="245"/>
      <c r="AA13" s="623"/>
      <c r="AB13" s="623"/>
      <c r="AC13" s="237">
        <v>70</v>
      </c>
      <c r="AD13" s="237"/>
      <c r="AF13" s="237">
        <v>82</v>
      </c>
      <c r="AG13" s="237"/>
      <c r="AI13" s="237">
        <v>94</v>
      </c>
      <c r="AJ13" s="237"/>
      <c r="AL13" s="237">
        <v>106</v>
      </c>
      <c r="AM13" s="237"/>
      <c r="AO13" s="237">
        <v>118</v>
      </c>
      <c r="AP13" s="237"/>
      <c r="AR13" s="254"/>
    </row>
    <row r="14" spans="1:44" s="184" customFormat="1" ht="12.75" customHeight="1">
      <c r="A14" s="700"/>
      <c r="B14" s="246">
        <v>10</v>
      </c>
      <c r="C14" s="145">
        <f>IF('Spielereinsatzliste A1'!B15="","",'Spielereinsatzliste A1'!B15)</f>
      </c>
      <c r="D14" s="146"/>
      <c r="E14" s="657"/>
      <c r="F14" s="627">
        <f>'Spielereinsatzliste A1'!D29</f>
      </c>
      <c r="G14" s="628">
        <f>IF(F14="","",RANK(F14,F$14:F$140,0))</f>
      </c>
      <c r="H14" s="629">
        <f>IF(F14="","",RANK(F14,F$14:F$140,1))</f>
      </c>
      <c r="I14" s="145">
        <f>IF('Spielereinsatzliste A2'!B15="","",'Spielereinsatzliste A2'!B15)</f>
      </c>
      <c r="J14" s="146"/>
      <c r="K14" s="657"/>
      <c r="L14" s="628">
        <f aca="true" t="shared" si="0" ref="L14:L23">G27</f>
      </c>
      <c r="M14" s="629">
        <f aca="true" t="shared" si="1" ref="M14:M23">H27</f>
      </c>
      <c r="N14" s="146"/>
      <c r="O14" s="146"/>
      <c r="P14" s="657"/>
      <c r="Q14" s="628">
        <f aca="true" t="shared" si="2" ref="Q14:Q23">G40</f>
      </c>
      <c r="R14" s="629">
        <f aca="true" t="shared" si="3" ref="R14:R23">H40</f>
      </c>
      <c r="S14" s="146">
        <f>IF('Spielereinsatzliste A4'!B15="","",'Spielereinsatzliste A4'!B15)</f>
      </c>
      <c r="T14" s="146"/>
      <c r="U14" s="657" t="s">
        <v>372</v>
      </c>
      <c r="V14" s="628">
        <f aca="true" t="shared" si="4" ref="V14:V23">G53</f>
      </c>
      <c r="W14" s="629">
        <f aca="true" t="shared" si="5" ref="W14:W23">H53</f>
      </c>
      <c r="X14" s="146"/>
      <c r="Y14" s="146">
        <f>IF('Spielereinsatzliste A5'!C15="","",'Spielereinsatzliste A5'!C15)</f>
      </c>
      <c r="Z14" s="657"/>
      <c r="AA14" s="628">
        <f aca="true" t="shared" si="6" ref="AA14:AA23">G66</f>
      </c>
      <c r="AB14" s="629">
        <f aca="true" t="shared" si="7" ref="AB14:AB23">H66</f>
      </c>
      <c r="AC14" s="247">
        <f aca="true" t="shared" si="8" ref="AC14:AC25">C148</f>
      </c>
      <c r="AD14" s="247">
        <f aca="true" t="shared" si="9" ref="AD14:AD25">D148</f>
        <v>0</v>
      </c>
      <c r="AE14" s="247">
        <f aca="true" t="shared" si="10" ref="AE14:AE25">E148</f>
        <v>0</v>
      </c>
      <c r="AF14" s="247">
        <f aca="true" t="shared" si="11" ref="AF14:AF25">I148</f>
      </c>
      <c r="AG14" s="247">
        <f aca="true" t="shared" si="12" ref="AG14:AG25">J148</f>
        <v>0</v>
      </c>
      <c r="AH14" s="247">
        <f aca="true" t="shared" si="13" ref="AH14:AH25">K148</f>
        <v>0</v>
      </c>
      <c r="AI14" s="247">
        <f aca="true" t="shared" si="14" ref="AI14:AI25">N148</f>
      </c>
      <c r="AJ14" s="247">
        <f aca="true" t="shared" si="15" ref="AJ14:AJ25">O148</f>
        <v>0</v>
      </c>
      <c r="AK14" s="247">
        <f aca="true" t="shared" si="16" ref="AK14:AK25">P148</f>
        <v>0</v>
      </c>
      <c r="AL14" s="247">
        <f aca="true" t="shared" si="17" ref="AL14:AL25">S148</f>
      </c>
      <c r="AM14" s="247">
        <f aca="true" t="shared" si="18" ref="AM14:AM25">T148</f>
        <v>0</v>
      </c>
      <c r="AN14" s="247">
        <f aca="true" t="shared" si="19" ref="AN14:AN25">U148</f>
        <v>0</v>
      </c>
      <c r="AO14" s="247">
        <f>X148</f>
      </c>
      <c r="AP14" s="247">
        <f>Y148</f>
        <v>0</v>
      </c>
      <c r="AQ14" s="247">
        <f>Z148</f>
        <v>0</v>
      </c>
      <c r="AR14" s="220"/>
    </row>
    <row r="15" spans="1:46" s="184" customFormat="1" ht="12.75" customHeight="1" thickBot="1">
      <c r="A15" s="700"/>
      <c r="B15" s="248">
        <v>11</v>
      </c>
      <c r="C15" s="148">
        <f>IF('Spielereinsatzliste A1'!B16="","",'Spielereinsatzliste A1'!B16)</f>
      </c>
      <c r="D15" s="149">
        <f>IF('Spielereinsatzliste A1'!C16="","",'Spielereinsatzliste A1'!C16)</f>
      </c>
      <c r="E15" s="658"/>
      <c r="F15" s="630">
        <f>'Spielereinsatzliste A1'!D30</f>
      </c>
      <c r="G15" s="631">
        <f aca="true" t="shared" si="20" ref="G15:G78">IF(F15="","",RANK(F15,F$14:F$140,0))</f>
      </c>
      <c r="H15" s="632">
        <f aca="true" t="shared" si="21" ref="H15:H78">IF(F15="","",RANK(F15,F$14:F$140,1))</f>
      </c>
      <c r="I15" s="148">
        <f>IF('Spielereinsatzliste A2'!B16="","",'Spielereinsatzliste A2'!B16)</f>
      </c>
      <c r="J15" s="149">
        <f>IF('Spielereinsatzliste A2'!C16="","",'Spielereinsatzliste A2'!C16)</f>
      </c>
      <c r="K15" s="658"/>
      <c r="L15" s="631">
        <f t="shared" si="0"/>
      </c>
      <c r="M15" s="632">
        <f t="shared" si="1"/>
      </c>
      <c r="N15" s="149"/>
      <c r="O15" s="149"/>
      <c r="P15" s="658"/>
      <c r="Q15" s="631">
        <f t="shared" si="2"/>
      </c>
      <c r="R15" s="632">
        <f t="shared" si="3"/>
      </c>
      <c r="S15" s="149">
        <f>IF('Spielereinsatzliste A4'!B16="","",'Spielereinsatzliste A4'!B16)</f>
      </c>
      <c r="T15" s="149">
        <f>IF('Spielereinsatzliste A4'!C16="","",'Spielereinsatzliste A4'!C16)</f>
      </c>
      <c r="U15" s="659" t="s">
        <v>373</v>
      </c>
      <c r="V15" s="631">
        <f t="shared" si="4"/>
      </c>
      <c r="W15" s="632">
        <f t="shared" si="5"/>
      </c>
      <c r="X15" s="149"/>
      <c r="Y15" s="149">
        <f>IF('Spielereinsatzliste A5'!C16="","",'Spielereinsatzliste A5'!C16)</f>
      </c>
      <c r="Z15" s="658"/>
      <c r="AA15" s="631">
        <f t="shared" si="6"/>
      </c>
      <c r="AB15" s="632">
        <f t="shared" si="7"/>
      </c>
      <c r="AC15" s="247">
        <f t="shared" si="8"/>
      </c>
      <c r="AD15" s="247">
        <f t="shared" si="9"/>
      </c>
      <c r="AE15" s="247">
        <f t="shared" si="10"/>
        <v>0</v>
      </c>
      <c r="AF15" s="247">
        <f t="shared" si="11"/>
      </c>
      <c r="AG15" s="247">
        <f t="shared" si="12"/>
      </c>
      <c r="AH15" s="247">
        <f t="shared" si="13"/>
        <v>0</v>
      </c>
      <c r="AI15" s="247">
        <f t="shared" si="14"/>
      </c>
      <c r="AJ15" s="247">
        <f t="shared" si="15"/>
      </c>
      <c r="AK15" s="247">
        <f t="shared" si="16"/>
        <v>0</v>
      </c>
      <c r="AL15" s="247">
        <f t="shared" si="17"/>
      </c>
      <c r="AM15" s="247">
        <f t="shared" si="18"/>
      </c>
      <c r="AN15" s="247">
        <f t="shared" si="19"/>
        <v>0</v>
      </c>
      <c r="AO15" s="247">
        <f aca="true" t="shared" si="22" ref="AO15:AO25">X149</f>
      </c>
      <c r="AP15" s="247">
        <f aca="true" t="shared" si="23" ref="AP15:AP25">Y149</f>
      </c>
      <c r="AQ15" s="247">
        <f aca="true" t="shared" si="24" ref="AQ15:AQ25">Z149</f>
        <v>0</v>
      </c>
      <c r="AR15" s="220"/>
      <c r="AS15" s="249" t="s">
        <v>117</v>
      </c>
      <c r="AT15" s="249"/>
    </row>
    <row r="16" spans="1:46" s="184" customFormat="1" ht="12.75" customHeight="1">
      <c r="A16" s="700"/>
      <c r="B16" s="246">
        <v>12</v>
      </c>
      <c r="C16" s="148">
        <f>IF('Spielereinsatzliste A1'!B17="","",'Spielereinsatzliste A1'!B17)</f>
      </c>
      <c r="D16" s="149">
        <f>IF('Spielereinsatzliste A1'!C17="","",'Spielereinsatzliste A1'!C17)</f>
      </c>
      <c r="E16" s="658"/>
      <c r="F16" s="630">
        <f>'Spielereinsatzliste A1'!D31</f>
      </c>
      <c r="G16" s="631">
        <f t="shared" si="20"/>
      </c>
      <c r="H16" s="632">
        <f t="shared" si="21"/>
      </c>
      <c r="I16" s="148">
        <f>IF('Spielereinsatzliste A2'!B17="","",'Spielereinsatzliste A2'!B17)</f>
      </c>
      <c r="J16" s="149">
        <f>IF('Spielereinsatzliste A2'!C17="","",'Spielereinsatzliste A2'!C17)</f>
      </c>
      <c r="K16" s="658"/>
      <c r="L16" s="631">
        <f t="shared" si="0"/>
      </c>
      <c r="M16" s="632">
        <f t="shared" si="1"/>
      </c>
      <c r="N16" s="149"/>
      <c r="O16" s="149">
        <f>IF('Spielereinsatzliste A3'!C17="","",'Spielereinsatzliste A3'!C17)</f>
      </c>
      <c r="P16" s="659"/>
      <c r="Q16" s="631">
        <f t="shared" si="2"/>
      </c>
      <c r="R16" s="632">
        <f t="shared" si="3"/>
      </c>
      <c r="S16" s="149">
        <f>IF('Spielereinsatzliste A4'!B17="","",'Spielereinsatzliste A4'!B17)</f>
      </c>
      <c r="T16" s="149">
        <f>IF('Spielereinsatzliste A4'!C17="","",'Spielereinsatzliste A4'!C17)</f>
      </c>
      <c r="U16" s="659" t="s">
        <v>374</v>
      </c>
      <c r="V16" s="631">
        <f t="shared" si="4"/>
      </c>
      <c r="W16" s="632">
        <f t="shared" si="5"/>
      </c>
      <c r="X16" s="149"/>
      <c r="Y16" s="149"/>
      <c r="Z16" s="658"/>
      <c r="AA16" s="631">
        <f t="shared" si="6"/>
      </c>
      <c r="AB16" s="632">
        <f t="shared" si="7"/>
      </c>
      <c r="AC16" s="247">
        <f t="shared" si="8"/>
      </c>
      <c r="AD16" s="247">
        <f t="shared" si="9"/>
      </c>
      <c r="AE16" s="247">
        <f t="shared" si="10"/>
        <v>0</v>
      </c>
      <c r="AF16" s="247">
        <f t="shared" si="11"/>
      </c>
      <c r="AG16" s="247">
        <f t="shared" si="12"/>
      </c>
      <c r="AH16" s="247">
        <f t="shared" si="13"/>
        <v>0</v>
      </c>
      <c r="AI16" s="247">
        <f t="shared" si="14"/>
      </c>
      <c r="AJ16" s="247">
        <f t="shared" si="15"/>
      </c>
      <c r="AK16" s="247">
        <f t="shared" si="16"/>
        <v>0</v>
      </c>
      <c r="AL16" s="247">
        <f t="shared" si="17"/>
      </c>
      <c r="AM16" s="247">
        <f t="shared" si="18"/>
      </c>
      <c r="AN16" s="247">
        <f t="shared" si="19"/>
        <v>0</v>
      </c>
      <c r="AO16" s="247">
        <f t="shared" si="22"/>
      </c>
      <c r="AP16" s="247">
        <f t="shared" si="23"/>
      </c>
      <c r="AQ16" s="247">
        <f t="shared" si="24"/>
        <v>0</v>
      </c>
      <c r="AR16" s="220"/>
      <c r="AS16" s="249" t="s">
        <v>118</v>
      </c>
      <c r="AT16" s="249"/>
    </row>
    <row r="17" spans="1:46" s="184" customFormat="1" ht="12.75" customHeight="1" thickBot="1">
      <c r="A17" s="700"/>
      <c r="B17" s="248">
        <v>13</v>
      </c>
      <c r="C17" s="148">
        <f>IF('Spielereinsatzliste A1'!B18="","",'Spielereinsatzliste A1'!B18)</f>
      </c>
      <c r="D17" s="149">
        <f>IF('Spielereinsatzliste A1'!C18="","",'Spielereinsatzliste A1'!C18)</f>
      </c>
      <c r="E17" s="658"/>
      <c r="F17" s="630">
        <f>'Spielereinsatzliste A1'!D32</f>
      </c>
      <c r="G17" s="631">
        <f t="shared" si="20"/>
      </c>
      <c r="H17" s="632">
        <f t="shared" si="21"/>
      </c>
      <c r="I17" s="148">
        <f>IF('Spielereinsatzliste A2'!B18="","",'Spielereinsatzliste A2'!B18)</f>
      </c>
      <c r="J17" s="149">
        <f>IF('Spielereinsatzliste A2'!C18="","",'Spielereinsatzliste A2'!C18)</f>
      </c>
      <c r="K17" s="658"/>
      <c r="L17" s="631">
        <f t="shared" si="0"/>
      </c>
      <c r="M17" s="632">
        <f t="shared" si="1"/>
      </c>
      <c r="N17" s="149"/>
      <c r="O17" s="149">
        <f>IF('Spielereinsatzliste A3'!C18="","",'Spielereinsatzliste A3'!C18)</f>
      </c>
      <c r="P17" s="659"/>
      <c r="Q17" s="631">
        <f t="shared" si="2"/>
      </c>
      <c r="R17" s="632">
        <f t="shared" si="3"/>
      </c>
      <c r="S17" s="149">
        <f>IF('Spielereinsatzliste A4'!B18="","",'Spielereinsatzliste A4'!B18)</f>
      </c>
      <c r="T17" s="149"/>
      <c r="U17" s="659" t="s">
        <v>375</v>
      </c>
      <c r="V17" s="631">
        <f t="shared" si="4"/>
      </c>
      <c r="W17" s="632">
        <f t="shared" si="5"/>
      </c>
      <c r="X17" s="149"/>
      <c r="Y17" s="149">
        <f>IF('Spielereinsatzliste A5'!C18="","",'Spielereinsatzliste A5'!C18)</f>
      </c>
      <c r="Z17" s="658"/>
      <c r="AA17" s="631">
        <f t="shared" si="6"/>
      </c>
      <c r="AB17" s="632">
        <f t="shared" si="7"/>
      </c>
      <c r="AC17" s="247">
        <f t="shared" si="8"/>
      </c>
      <c r="AD17" s="247">
        <f t="shared" si="9"/>
      </c>
      <c r="AE17" s="247">
        <f t="shared" si="10"/>
        <v>0</v>
      </c>
      <c r="AF17" s="247">
        <f t="shared" si="11"/>
      </c>
      <c r="AG17" s="247">
        <f t="shared" si="12"/>
      </c>
      <c r="AH17" s="247">
        <f t="shared" si="13"/>
        <v>0</v>
      </c>
      <c r="AI17" s="247">
        <f t="shared" si="14"/>
      </c>
      <c r="AJ17" s="247">
        <f t="shared" si="15"/>
      </c>
      <c r="AK17" s="247">
        <f t="shared" si="16"/>
        <v>0</v>
      </c>
      <c r="AL17" s="247">
        <f t="shared" si="17"/>
      </c>
      <c r="AM17" s="247">
        <f t="shared" si="18"/>
      </c>
      <c r="AN17" s="247">
        <f t="shared" si="19"/>
        <v>0</v>
      </c>
      <c r="AO17" s="247">
        <f t="shared" si="22"/>
      </c>
      <c r="AP17" s="247">
        <f t="shared" si="23"/>
      </c>
      <c r="AQ17" s="247">
        <f t="shared" si="24"/>
        <v>0</v>
      </c>
      <c r="AR17" s="220"/>
      <c r="AS17" s="249" t="s">
        <v>119</v>
      </c>
      <c r="AT17" s="249"/>
    </row>
    <row r="18" spans="1:48" s="184" customFormat="1" ht="12.75" customHeight="1">
      <c r="A18" s="700"/>
      <c r="B18" s="246">
        <v>14</v>
      </c>
      <c r="C18" s="148">
        <f>IF('Spielereinsatzliste A1'!B19="","",'Spielereinsatzliste A1'!B19)</f>
      </c>
      <c r="D18" s="149"/>
      <c r="E18" s="659"/>
      <c r="F18" s="630">
        <f>'Spielereinsatzliste A1'!D33</f>
      </c>
      <c r="G18" s="631">
        <f t="shared" si="20"/>
      </c>
      <c r="H18" s="632">
        <f t="shared" si="21"/>
      </c>
      <c r="I18" s="148">
        <f>IF('Spielereinsatzliste A2'!B19="","",'Spielereinsatzliste A2'!B19)</f>
      </c>
      <c r="J18" s="149"/>
      <c r="K18" s="658"/>
      <c r="L18" s="631">
        <f t="shared" si="0"/>
      </c>
      <c r="M18" s="632">
        <f t="shared" si="1"/>
      </c>
      <c r="N18" s="149"/>
      <c r="O18" s="149">
        <f>IF('Spielereinsatzliste A3'!C19="","",'Spielereinsatzliste A3'!C19)</f>
      </c>
      <c r="P18" s="659"/>
      <c r="Q18" s="631">
        <f t="shared" si="2"/>
      </c>
      <c r="R18" s="632">
        <f t="shared" si="3"/>
      </c>
      <c r="S18" s="149">
        <f>IF('Spielereinsatzliste A4'!B19="","",'Spielereinsatzliste A4'!B19)</f>
      </c>
      <c r="T18" s="149">
        <f>IF('Spielereinsatzliste A4'!C19="","",'Spielereinsatzliste A4'!C19)</f>
      </c>
      <c r="U18" s="659" t="s">
        <v>376</v>
      </c>
      <c r="V18" s="631">
        <f t="shared" si="4"/>
      </c>
      <c r="W18" s="632">
        <f t="shared" si="5"/>
      </c>
      <c r="X18" s="149"/>
      <c r="Y18" s="149">
        <f>IF('Spielereinsatzliste A5'!C19="","",'Spielereinsatzliste A5'!C19)</f>
      </c>
      <c r="Z18" s="658"/>
      <c r="AA18" s="631">
        <f t="shared" si="6"/>
      </c>
      <c r="AB18" s="632">
        <f t="shared" si="7"/>
      </c>
      <c r="AC18" s="247">
        <f t="shared" si="8"/>
      </c>
      <c r="AD18" s="247">
        <f t="shared" si="9"/>
        <v>0</v>
      </c>
      <c r="AE18" s="247">
        <f t="shared" si="10"/>
        <v>0</v>
      </c>
      <c r="AF18" s="247">
        <f t="shared" si="11"/>
      </c>
      <c r="AG18" s="247">
        <f t="shared" si="12"/>
        <v>0</v>
      </c>
      <c r="AH18" s="247">
        <f t="shared" si="13"/>
        <v>0</v>
      </c>
      <c r="AI18" s="247">
        <f t="shared" si="14"/>
      </c>
      <c r="AJ18" s="247">
        <f t="shared" si="15"/>
      </c>
      <c r="AK18" s="247">
        <f t="shared" si="16"/>
        <v>0</v>
      </c>
      <c r="AL18" s="247">
        <f t="shared" si="17"/>
      </c>
      <c r="AM18" s="247">
        <f t="shared" si="18"/>
      </c>
      <c r="AN18" s="247">
        <f t="shared" si="19"/>
        <v>0</v>
      </c>
      <c r="AO18" s="247">
        <f t="shared" si="22"/>
      </c>
      <c r="AP18" s="247">
        <f t="shared" si="23"/>
      </c>
      <c r="AQ18" s="247">
        <f t="shared" si="24"/>
        <v>0</v>
      </c>
      <c r="AR18" s="220"/>
      <c r="AS18" s="249" t="s">
        <v>120</v>
      </c>
      <c r="AT18" s="249"/>
      <c r="AV18" s="608"/>
    </row>
    <row r="19" spans="1:48" s="184" customFormat="1" ht="12.75" customHeight="1" thickBot="1">
      <c r="A19" s="700"/>
      <c r="B19" s="248">
        <v>15</v>
      </c>
      <c r="C19" s="148">
        <f>IF('Spielereinsatzliste A1'!B20="","",'Spielereinsatzliste A1'!B20)</f>
      </c>
      <c r="D19" s="149">
        <f>IF('Spielereinsatzliste A1'!C20="","",'Spielereinsatzliste A1'!C20)</f>
      </c>
      <c r="E19" s="658"/>
      <c r="F19" s="630">
        <f>'Spielereinsatzliste A1'!D34</f>
      </c>
      <c r="G19" s="631">
        <f t="shared" si="20"/>
      </c>
      <c r="H19" s="632">
        <f t="shared" si="21"/>
      </c>
      <c r="I19" s="148">
        <f>IF('Spielereinsatzliste A2'!B20="","",'Spielereinsatzliste A2'!B20)</f>
      </c>
      <c r="J19" s="149">
        <f>IF('Spielereinsatzliste A2'!C20="","",'Spielereinsatzliste A2'!C20)</f>
      </c>
      <c r="K19" s="658"/>
      <c r="L19" s="631">
        <f t="shared" si="0"/>
      </c>
      <c r="M19" s="632">
        <f t="shared" si="1"/>
      </c>
      <c r="N19" s="149"/>
      <c r="O19" s="149">
        <f>IF('Spielereinsatzliste A3'!C20="","",'Spielereinsatzliste A3'!C20)</f>
      </c>
      <c r="P19" s="659"/>
      <c r="Q19" s="631">
        <f t="shared" si="2"/>
      </c>
      <c r="R19" s="632">
        <f t="shared" si="3"/>
      </c>
      <c r="S19" s="149">
        <f>IF('Spielereinsatzliste A4'!B20="","",'Spielereinsatzliste A4'!B20)</f>
      </c>
      <c r="T19" s="149">
        <f>IF('Spielereinsatzliste A4'!C20="","",'Spielereinsatzliste A4'!C20)</f>
      </c>
      <c r="U19" s="659"/>
      <c r="V19" s="631">
        <f t="shared" si="4"/>
      </c>
      <c r="W19" s="632">
        <f t="shared" si="5"/>
      </c>
      <c r="X19" s="149"/>
      <c r="Y19" s="149">
        <f>IF('Spielereinsatzliste A5'!C20="","",'Spielereinsatzliste A5'!C20)</f>
      </c>
      <c r="Z19" s="658"/>
      <c r="AA19" s="631">
        <f t="shared" si="6"/>
      </c>
      <c r="AB19" s="632">
        <f t="shared" si="7"/>
      </c>
      <c r="AC19" s="247">
        <f t="shared" si="8"/>
      </c>
      <c r="AD19" s="247">
        <f t="shared" si="9"/>
      </c>
      <c r="AE19" s="247">
        <f t="shared" si="10"/>
        <v>0</v>
      </c>
      <c r="AF19" s="247">
        <f t="shared" si="11"/>
      </c>
      <c r="AG19" s="247">
        <f t="shared" si="12"/>
      </c>
      <c r="AH19" s="247">
        <f t="shared" si="13"/>
        <v>0</v>
      </c>
      <c r="AI19" s="247">
        <f t="shared" si="14"/>
      </c>
      <c r="AJ19" s="247">
        <f t="shared" si="15"/>
      </c>
      <c r="AK19" s="247">
        <f t="shared" si="16"/>
        <v>0</v>
      </c>
      <c r="AL19" s="247">
        <f t="shared" si="17"/>
      </c>
      <c r="AM19" s="247">
        <f t="shared" si="18"/>
      </c>
      <c r="AN19" s="247">
        <f t="shared" si="19"/>
        <v>0</v>
      </c>
      <c r="AO19" s="247">
        <f t="shared" si="22"/>
        <v>0</v>
      </c>
      <c r="AP19" s="247">
        <f t="shared" si="23"/>
      </c>
      <c r="AQ19" s="247">
        <f t="shared" si="24"/>
        <v>0</v>
      </c>
      <c r="AR19" s="220"/>
      <c r="AS19" s="249" t="s">
        <v>121</v>
      </c>
      <c r="AT19" s="249"/>
      <c r="AV19" s="608"/>
    </row>
    <row r="20" spans="1:44" s="184" customFormat="1" ht="12.75" customHeight="1">
      <c r="A20" s="700"/>
      <c r="B20" s="246">
        <v>16</v>
      </c>
      <c r="C20" s="148">
        <f>IF('Spielereinsatzliste A1'!B21="","",'Spielereinsatzliste A1'!B21)</f>
      </c>
      <c r="D20" s="149">
        <f>IF('Spielereinsatzliste A1'!C21="","",'Spielereinsatzliste A1'!C21)</f>
      </c>
      <c r="E20" s="658"/>
      <c r="F20" s="630">
        <f>'Spielereinsatzliste A1'!D35</f>
      </c>
      <c r="G20" s="631">
        <f t="shared" si="20"/>
      </c>
      <c r="H20" s="632">
        <f t="shared" si="21"/>
      </c>
      <c r="I20" s="148">
        <f>IF('Spielereinsatzliste A2'!B21="","",'Spielereinsatzliste A2'!B21)</f>
      </c>
      <c r="J20" s="149">
        <f>IF('Spielereinsatzliste A2'!C21="","",'Spielereinsatzliste A2'!C21)</f>
      </c>
      <c r="K20" s="658"/>
      <c r="L20" s="631">
        <f t="shared" si="0"/>
      </c>
      <c r="M20" s="632">
        <f t="shared" si="1"/>
      </c>
      <c r="N20" s="149"/>
      <c r="O20" s="149">
        <f>IF('Spielereinsatzliste A3'!C21="","",'Spielereinsatzliste A3'!C21)</f>
      </c>
      <c r="P20" s="659"/>
      <c r="Q20" s="631">
        <f t="shared" si="2"/>
      </c>
      <c r="R20" s="632">
        <f t="shared" si="3"/>
      </c>
      <c r="S20" s="149">
        <f>IF('Spielereinsatzliste A4'!B21="","",'Spielereinsatzliste A4'!B21)</f>
      </c>
      <c r="T20" s="149">
        <f>IF('Spielereinsatzliste A4'!C21="","",'Spielereinsatzliste A4'!C21)</f>
      </c>
      <c r="U20" s="661"/>
      <c r="V20" s="631">
        <f t="shared" si="4"/>
      </c>
      <c r="W20" s="632">
        <f t="shared" si="5"/>
      </c>
      <c r="X20" s="149">
        <f>IF('Spielereinsatzliste A5'!B21="","",'Spielereinsatzliste A5'!B21)</f>
      </c>
      <c r="Y20" s="149"/>
      <c r="Z20" s="658"/>
      <c r="AA20" s="631">
        <f t="shared" si="6"/>
      </c>
      <c r="AB20" s="632">
        <f t="shared" si="7"/>
      </c>
      <c r="AC20" s="247">
        <f t="shared" si="8"/>
      </c>
      <c r="AD20" s="247">
        <f t="shared" si="9"/>
      </c>
      <c r="AE20" s="247">
        <f t="shared" si="10"/>
        <v>0</v>
      </c>
      <c r="AF20" s="247">
        <f t="shared" si="11"/>
      </c>
      <c r="AG20" s="247">
        <f t="shared" si="12"/>
      </c>
      <c r="AH20" s="247">
        <f t="shared" si="13"/>
        <v>0</v>
      </c>
      <c r="AI20" s="247">
        <f t="shared" si="14"/>
      </c>
      <c r="AJ20" s="247">
        <f t="shared" si="15"/>
      </c>
      <c r="AK20" s="247">
        <f t="shared" si="16"/>
        <v>0</v>
      </c>
      <c r="AL20" s="247">
        <f t="shared" si="17"/>
      </c>
      <c r="AM20" s="247">
        <f t="shared" si="18"/>
        <v>0</v>
      </c>
      <c r="AN20" s="247">
        <f t="shared" si="19"/>
        <v>0</v>
      </c>
      <c r="AO20" s="247">
        <f t="shared" si="22"/>
        <v>0</v>
      </c>
      <c r="AP20" s="247">
        <f t="shared" si="23"/>
      </c>
      <c r="AQ20" s="247">
        <f t="shared" si="24"/>
        <v>0</v>
      </c>
      <c r="AR20" s="220"/>
    </row>
    <row r="21" spans="1:44" s="184" customFormat="1" ht="12.75" customHeight="1" thickBot="1">
      <c r="A21" s="701"/>
      <c r="B21" s="248">
        <v>17</v>
      </c>
      <c r="C21" s="148">
        <f>IF('Spielereinsatzliste A1'!B22="","",'Spielereinsatzliste A1'!B22)</f>
      </c>
      <c r="D21" s="149">
        <f>IF('Spielereinsatzliste A1'!C22="","",'Spielereinsatzliste A1'!C22)</f>
      </c>
      <c r="E21" s="659"/>
      <c r="F21" s="630">
        <f>'Spielereinsatzliste A1'!D36</f>
      </c>
      <c r="G21" s="631">
        <f t="shared" si="20"/>
      </c>
      <c r="H21" s="632">
        <f t="shared" si="21"/>
      </c>
      <c r="I21" s="148">
        <f>IF('Spielereinsatzliste A2'!B22="","",'Spielereinsatzliste A2'!B22)</f>
      </c>
      <c r="J21" s="149">
        <f>IF('Spielereinsatzliste A2'!C22="","",'Spielereinsatzliste A2'!C22)</f>
      </c>
      <c r="K21" s="659"/>
      <c r="L21" s="631">
        <f t="shared" si="0"/>
      </c>
      <c r="M21" s="632">
        <f t="shared" si="1"/>
      </c>
      <c r="N21" s="149"/>
      <c r="O21" s="149">
        <f>IF('Spielereinsatzliste A3'!C22="","",'Spielereinsatzliste A3'!C22)</f>
      </c>
      <c r="P21" s="659"/>
      <c r="Q21" s="631">
        <f t="shared" si="2"/>
      </c>
      <c r="R21" s="632">
        <f t="shared" si="3"/>
      </c>
      <c r="S21" s="149">
        <f>IF('Spielereinsatzliste A4'!B22="","",'Spielereinsatzliste A4'!B22)</f>
      </c>
      <c r="T21" s="149">
        <f>IF('Spielereinsatzliste A4'!C22="","",'Spielereinsatzliste A4'!C22)</f>
      </c>
      <c r="U21" s="659"/>
      <c r="V21" s="631">
        <f t="shared" si="4"/>
      </c>
      <c r="W21" s="632">
        <f t="shared" si="5"/>
      </c>
      <c r="X21" s="149">
        <f>IF('Spielereinsatzliste A5'!B22="","",'Spielereinsatzliste A5'!B22)</f>
      </c>
      <c r="Y21" s="149">
        <f>IF('Spielereinsatzliste A5'!C22="","",'Spielereinsatzliste A5'!C22)</f>
      </c>
      <c r="Z21" s="658"/>
      <c r="AA21" s="631">
        <f t="shared" si="6"/>
      </c>
      <c r="AB21" s="632">
        <f t="shared" si="7"/>
      </c>
      <c r="AC21" s="247">
        <f t="shared" si="8"/>
      </c>
      <c r="AD21" s="247">
        <f t="shared" si="9"/>
      </c>
      <c r="AE21" s="247">
        <f t="shared" si="10"/>
        <v>0</v>
      </c>
      <c r="AF21" s="247">
        <f t="shared" si="11"/>
      </c>
      <c r="AG21" s="247">
        <f t="shared" si="12"/>
      </c>
      <c r="AH21" s="247">
        <f t="shared" si="13"/>
        <v>0</v>
      </c>
      <c r="AI21" s="247">
        <f t="shared" si="14"/>
      </c>
      <c r="AJ21" s="247">
        <f t="shared" si="15"/>
      </c>
      <c r="AK21" s="247">
        <f t="shared" si="16"/>
        <v>0</v>
      </c>
      <c r="AL21" s="247">
        <f t="shared" si="17"/>
      </c>
      <c r="AM21" s="247">
        <f t="shared" si="18"/>
      </c>
      <c r="AN21" s="247">
        <f t="shared" si="19"/>
        <v>0</v>
      </c>
      <c r="AO21" s="247">
        <f t="shared" si="22"/>
      </c>
      <c r="AP21" s="247">
        <f t="shared" si="23"/>
      </c>
      <c r="AQ21" s="247">
        <f t="shared" si="24"/>
        <v>0</v>
      </c>
      <c r="AR21" s="220"/>
    </row>
    <row r="22" spans="1:44" s="184" customFormat="1" ht="12.75" customHeight="1">
      <c r="A22" s="701"/>
      <c r="B22" s="246">
        <v>18</v>
      </c>
      <c r="C22" s="148">
        <f>IF('Spielereinsatzliste A1'!B23="","",'Spielereinsatzliste A1'!B23)</f>
      </c>
      <c r="D22" s="149">
        <f>IF('Spielereinsatzliste A1'!C23="","",'Spielereinsatzliste A1'!C23)</f>
      </c>
      <c r="E22" s="643"/>
      <c r="F22" s="630">
        <f>'Spielereinsatzliste A1'!D37</f>
      </c>
      <c r="G22" s="631">
        <f t="shared" si="20"/>
      </c>
      <c r="H22" s="632">
        <f t="shared" si="21"/>
      </c>
      <c r="I22" s="148">
        <f>IF('Spielereinsatzliste A2'!B23="","",'Spielereinsatzliste A2'!B23)</f>
      </c>
      <c r="J22" s="149">
        <f>IF('Spielereinsatzliste A2'!C23="","",'Spielereinsatzliste A2'!C23)</f>
      </c>
      <c r="K22" s="659"/>
      <c r="L22" s="631">
        <f t="shared" si="0"/>
      </c>
      <c r="M22" s="632">
        <f t="shared" si="1"/>
      </c>
      <c r="N22" s="149">
        <f>IF('Spielereinsatzliste A3'!B23="","",'Spielereinsatzliste A3'!B23)</f>
      </c>
      <c r="O22" s="149">
        <f>IF('Spielereinsatzliste A3'!C23="","",'Spielereinsatzliste A3'!C23)</f>
      </c>
      <c r="P22" s="643"/>
      <c r="Q22" s="631">
        <f t="shared" si="2"/>
      </c>
      <c r="R22" s="632">
        <f t="shared" si="3"/>
      </c>
      <c r="S22" s="149">
        <f>IF('Spielereinsatzliste A4'!B23="","",'Spielereinsatzliste A4'!B23)</f>
      </c>
      <c r="T22" s="149">
        <f>IF('Spielereinsatzliste A4'!C23="","",'Spielereinsatzliste A4'!C23)</f>
      </c>
      <c r="U22" s="659"/>
      <c r="V22" s="631">
        <f t="shared" si="4"/>
      </c>
      <c r="W22" s="632">
        <f t="shared" si="5"/>
      </c>
      <c r="X22" s="149">
        <f>IF('Spielereinsatzliste A5'!B23="","",'Spielereinsatzliste A5'!B23)</f>
      </c>
      <c r="Y22" s="149">
        <f>IF('Spielereinsatzliste A5'!C23="","",'Spielereinsatzliste A5'!C23)</f>
      </c>
      <c r="Z22" s="659"/>
      <c r="AA22" s="631">
        <f t="shared" si="6"/>
      </c>
      <c r="AB22" s="632">
        <f t="shared" si="7"/>
      </c>
      <c r="AC22" s="247">
        <f t="shared" si="8"/>
      </c>
      <c r="AD22" s="247">
        <f t="shared" si="9"/>
      </c>
      <c r="AE22" s="247">
        <f t="shared" si="10"/>
        <v>0</v>
      </c>
      <c r="AF22" s="247">
        <f t="shared" si="11"/>
      </c>
      <c r="AG22" s="247">
        <f t="shared" si="12"/>
      </c>
      <c r="AH22" s="247">
        <f t="shared" si="13"/>
        <v>0</v>
      </c>
      <c r="AI22" s="247">
        <f t="shared" si="14"/>
      </c>
      <c r="AJ22" s="247">
        <f t="shared" si="15"/>
      </c>
      <c r="AK22" s="247">
        <f t="shared" si="16"/>
        <v>0</v>
      </c>
      <c r="AL22" s="247">
        <f t="shared" si="17"/>
      </c>
      <c r="AM22" s="247">
        <f t="shared" si="18"/>
      </c>
      <c r="AN22" s="247">
        <f t="shared" si="19"/>
        <v>0</v>
      </c>
      <c r="AO22" s="247">
        <f t="shared" si="22"/>
      </c>
      <c r="AP22" s="247">
        <f t="shared" si="23"/>
      </c>
      <c r="AQ22" s="247">
        <f t="shared" si="24"/>
        <v>0</v>
      </c>
      <c r="AR22" s="220"/>
    </row>
    <row r="23" spans="1:44" s="184" customFormat="1" ht="12.75" customHeight="1" thickBot="1">
      <c r="A23" s="701"/>
      <c r="B23" s="248">
        <v>19</v>
      </c>
      <c r="C23" s="150">
        <f>IF('Spielereinsatzliste A1'!B24="","",'Spielereinsatzliste A1'!B24)</f>
      </c>
      <c r="D23" s="151">
        <f>IF('Spielereinsatzliste A1'!C24="","",'Spielereinsatzliste A1'!C24)</f>
      </c>
      <c r="E23" s="644"/>
      <c r="F23" s="633">
        <f>'Spielereinsatzliste A1'!D38</f>
      </c>
      <c r="G23" s="634">
        <f t="shared" si="20"/>
      </c>
      <c r="H23" s="635">
        <f t="shared" si="21"/>
      </c>
      <c r="I23" s="150">
        <f>IF('Spielereinsatzliste A2'!B24="","",'Spielereinsatzliste A2'!B24)</f>
      </c>
      <c r="J23" s="151">
        <f>IF('Spielereinsatzliste A2'!C24="","",'Spielereinsatzliste A2'!C24)</f>
      </c>
      <c r="K23" s="662"/>
      <c r="L23" s="634">
        <f t="shared" si="0"/>
      </c>
      <c r="M23" s="635">
        <f t="shared" si="1"/>
      </c>
      <c r="N23" s="151">
        <f>IF('Spielereinsatzliste A3'!B24="","",'Spielereinsatzliste A3'!B24)</f>
      </c>
      <c r="O23" s="151">
        <f>IF('Spielereinsatzliste A3'!C24="","",'Spielereinsatzliste A3'!C24)</f>
      </c>
      <c r="P23" s="644"/>
      <c r="Q23" s="634">
        <f t="shared" si="2"/>
      </c>
      <c r="R23" s="635">
        <f t="shared" si="3"/>
      </c>
      <c r="S23" s="151">
        <f>IF('Spielereinsatzliste A4'!B24="","",'Spielereinsatzliste A4'!B24)</f>
      </c>
      <c r="T23" s="151">
        <f>IF('Spielereinsatzliste A4'!C24="","",'Spielereinsatzliste A4'!C24)</f>
      </c>
      <c r="U23" s="662"/>
      <c r="V23" s="634">
        <f t="shared" si="4"/>
      </c>
      <c r="W23" s="635">
        <f t="shared" si="5"/>
      </c>
      <c r="X23" s="151">
        <f>IF('Spielereinsatzliste A5'!B24="","",'Spielereinsatzliste A5'!B24)</f>
      </c>
      <c r="Y23" s="151">
        <f>IF('Spielereinsatzliste A5'!C24="","",'Spielereinsatzliste A5'!C24)</f>
      </c>
      <c r="Z23" s="662"/>
      <c r="AA23" s="634">
        <f t="shared" si="6"/>
      </c>
      <c r="AB23" s="635">
        <f t="shared" si="7"/>
      </c>
      <c r="AC23" s="247">
        <f t="shared" si="8"/>
      </c>
      <c r="AD23" s="247">
        <f t="shared" si="9"/>
      </c>
      <c r="AE23" s="247">
        <f t="shared" si="10"/>
        <v>0</v>
      </c>
      <c r="AF23" s="247">
        <f t="shared" si="11"/>
      </c>
      <c r="AG23" s="247">
        <f t="shared" si="12"/>
      </c>
      <c r="AH23" s="247">
        <f t="shared" si="13"/>
        <v>0</v>
      </c>
      <c r="AI23" s="247">
        <f t="shared" si="14"/>
      </c>
      <c r="AJ23" s="247">
        <f t="shared" si="15"/>
      </c>
      <c r="AK23" s="247">
        <f t="shared" si="16"/>
        <v>0</v>
      </c>
      <c r="AL23" s="247">
        <f t="shared" si="17"/>
      </c>
      <c r="AM23" s="247">
        <f t="shared" si="18"/>
      </c>
      <c r="AN23" s="247">
        <f t="shared" si="19"/>
        <v>0</v>
      </c>
      <c r="AO23" s="247">
        <f t="shared" si="22"/>
      </c>
      <c r="AP23" s="247">
        <f t="shared" si="23"/>
      </c>
      <c r="AQ23" s="247">
        <f t="shared" si="24"/>
        <v>0</v>
      </c>
      <c r="AR23" s="220"/>
    </row>
    <row r="24" spans="1:44" s="184" customFormat="1" ht="12.75" customHeight="1">
      <c r="A24" s="157" t="s">
        <v>38</v>
      </c>
      <c r="B24" s="246">
        <v>20</v>
      </c>
      <c r="C24" s="152"/>
      <c r="D24" s="153"/>
      <c r="E24" s="147"/>
      <c r="F24" s="611"/>
      <c r="G24" s="627">
        <f t="shared" si="20"/>
      </c>
      <c r="H24" s="629">
        <f t="shared" si="21"/>
      </c>
      <c r="I24" s="152"/>
      <c r="J24" s="153"/>
      <c r="K24" s="147"/>
      <c r="L24" s="611"/>
      <c r="M24" s="611"/>
      <c r="N24" s="152"/>
      <c r="O24" s="153"/>
      <c r="P24" s="147"/>
      <c r="Q24" s="611"/>
      <c r="R24" s="611"/>
      <c r="S24" s="152"/>
      <c r="T24" s="153"/>
      <c r="U24" s="147" t="s">
        <v>377</v>
      </c>
      <c r="V24" s="611"/>
      <c r="W24" s="611"/>
      <c r="X24" s="152"/>
      <c r="Y24" s="153"/>
      <c r="Z24" s="147"/>
      <c r="AA24" s="624"/>
      <c r="AB24" s="624"/>
      <c r="AC24" s="247">
        <f t="shared" si="8"/>
        <v>0</v>
      </c>
      <c r="AD24" s="247">
        <f t="shared" si="9"/>
        <v>0</v>
      </c>
      <c r="AE24" s="247">
        <f t="shared" si="10"/>
        <v>0</v>
      </c>
      <c r="AF24" s="247">
        <f t="shared" si="11"/>
        <v>0</v>
      </c>
      <c r="AG24" s="247">
        <f t="shared" si="12"/>
        <v>0</v>
      </c>
      <c r="AH24" s="247">
        <f t="shared" si="13"/>
        <v>0</v>
      </c>
      <c r="AI24" s="247">
        <f t="shared" si="14"/>
        <v>0</v>
      </c>
      <c r="AJ24" s="247">
        <f t="shared" si="15"/>
        <v>0</v>
      </c>
      <c r="AK24" s="247">
        <f t="shared" si="16"/>
        <v>0</v>
      </c>
      <c r="AL24" s="247">
        <f t="shared" si="17"/>
        <v>0</v>
      </c>
      <c r="AM24" s="247">
        <f t="shared" si="18"/>
        <v>0</v>
      </c>
      <c r="AN24" s="247">
        <f t="shared" si="19"/>
        <v>0</v>
      </c>
      <c r="AO24" s="247">
        <f t="shared" si="22"/>
        <v>0</v>
      </c>
      <c r="AP24" s="247">
        <f t="shared" si="23"/>
        <v>0</v>
      </c>
      <c r="AQ24" s="247">
        <f t="shared" si="24"/>
        <v>0</v>
      </c>
      <c r="AR24" s="247"/>
    </row>
    <row r="25" spans="1:44" s="184" customFormat="1" ht="12.75" customHeight="1" thickBot="1">
      <c r="A25" s="158" t="s">
        <v>39</v>
      </c>
      <c r="B25" s="250">
        <v>21</v>
      </c>
      <c r="C25" s="154"/>
      <c r="D25" s="155"/>
      <c r="E25" s="156"/>
      <c r="F25" s="612"/>
      <c r="G25" s="633">
        <f t="shared" si="20"/>
      </c>
      <c r="H25" s="635">
        <f t="shared" si="21"/>
      </c>
      <c r="I25" s="154"/>
      <c r="J25" s="155"/>
      <c r="K25" s="156"/>
      <c r="L25" s="612"/>
      <c r="M25" s="612"/>
      <c r="N25" s="154"/>
      <c r="O25" s="155"/>
      <c r="P25" s="156"/>
      <c r="Q25" s="612"/>
      <c r="R25" s="612"/>
      <c r="S25" s="154"/>
      <c r="T25" s="155"/>
      <c r="U25" s="156" t="s">
        <v>378</v>
      </c>
      <c r="V25" s="612"/>
      <c r="W25" s="612"/>
      <c r="X25" s="154"/>
      <c r="Y25" s="155"/>
      <c r="Z25" s="156"/>
      <c r="AA25" s="624"/>
      <c r="AB25" s="624"/>
      <c r="AC25" s="247">
        <f t="shared" si="8"/>
        <v>0</v>
      </c>
      <c r="AD25" s="247">
        <f t="shared" si="9"/>
        <v>0</v>
      </c>
      <c r="AE25" s="247">
        <f t="shared" si="10"/>
        <v>0</v>
      </c>
      <c r="AF25" s="247">
        <f t="shared" si="11"/>
        <v>0</v>
      </c>
      <c r="AG25" s="247">
        <f t="shared" si="12"/>
        <v>0</v>
      </c>
      <c r="AH25" s="247">
        <f t="shared" si="13"/>
        <v>0</v>
      </c>
      <c r="AI25" s="247">
        <f t="shared" si="14"/>
        <v>0</v>
      </c>
      <c r="AJ25" s="247">
        <f t="shared" si="15"/>
        <v>0</v>
      </c>
      <c r="AK25" s="247">
        <f t="shared" si="16"/>
        <v>0</v>
      </c>
      <c r="AL25" s="247">
        <f t="shared" si="17"/>
        <v>0</v>
      </c>
      <c r="AM25" s="247">
        <f t="shared" si="18"/>
        <v>0</v>
      </c>
      <c r="AN25" s="247">
        <f t="shared" si="19"/>
        <v>0</v>
      </c>
      <c r="AO25" s="247">
        <f t="shared" si="22"/>
        <v>0</v>
      </c>
      <c r="AP25" s="247">
        <f t="shared" si="23"/>
        <v>0</v>
      </c>
      <c r="AQ25" s="247">
        <f t="shared" si="24"/>
        <v>0</v>
      </c>
      <c r="AR25" s="247"/>
    </row>
    <row r="26" spans="1:44" s="234" customFormat="1" ht="3" customHeight="1" thickTop="1">
      <c r="A26" s="251"/>
      <c r="B26" s="252"/>
      <c r="C26" s="220"/>
      <c r="D26" s="220"/>
      <c r="E26" s="253"/>
      <c r="F26" s="253"/>
      <c r="G26" s="626">
        <f t="shared" si="20"/>
      </c>
      <c r="H26" s="626">
        <f t="shared" si="21"/>
      </c>
      <c r="I26" s="220"/>
      <c r="J26" s="220"/>
      <c r="K26" s="253"/>
      <c r="L26" s="253"/>
      <c r="M26" s="253"/>
      <c r="N26" s="220"/>
      <c r="O26" s="220"/>
      <c r="P26" s="253"/>
      <c r="Q26" s="253"/>
      <c r="R26" s="253"/>
      <c r="S26" s="220"/>
      <c r="T26" s="220"/>
      <c r="U26" s="253"/>
      <c r="V26" s="253"/>
      <c r="W26" s="253"/>
      <c r="X26" s="220"/>
      <c r="Y26" s="220"/>
      <c r="Z26" s="253"/>
      <c r="AA26" s="253"/>
      <c r="AB26" s="253"/>
      <c r="AC26" s="237"/>
      <c r="AD26" s="237"/>
      <c r="AE26" s="247"/>
      <c r="AF26" s="254"/>
      <c r="AG26" s="254"/>
      <c r="AH26" s="247"/>
      <c r="AI26" s="254"/>
      <c r="AJ26" s="254"/>
      <c r="AK26" s="247"/>
      <c r="AL26" s="254"/>
      <c r="AM26" s="254"/>
      <c r="AN26" s="247"/>
      <c r="AO26" s="254"/>
      <c r="AP26" s="254"/>
      <c r="AQ26" s="247"/>
      <c r="AR26" s="247"/>
    </row>
    <row r="27" spans="1:44" s="228" customFormat="1" ht="18" customHeight="1" hidden="1">
      <c r="A27" s="255"/>
      <c r="B27" s="255">
        <v>22</v>
      </c>
      <c r="C27" s="237">
        <f>I14</f>
      </c>
      <c r="D27" s="237">
        <f>J14</f>
        <v>0</v>
      </c>
      <c r="E27" s="237">
        <f>K14</f>
        <v>0</v>
      </c>
      <c r="F27" s="237">
        <f>'Spielereinsatzliste A2'!D29</f>
      </c>
      <c r="G27" s="220">
        <f t="shared" si="20"/>
      </c>
      <c r="H27" s="220">
        <f t="shared" si="21"/>
      </c>
      <c r="I27" s="220"/>
      <c r="J27" s="220"/>
      <c r="K27" s="237"/>
      <c r="L27" s="237"/>
      <c r="M27" s="237"/>
      <c r="N27" s="220"/>
      <c r="O27" s="220"/>
      <c r="P27" s="237"/>
      <c r="Q27" s="237"/>
      <c r="R27" s="237"/>
      <c r="S27" s="220"/>
      <c r="T27" s="220"/>
      <c r="U27" s="237"/>
      <c r="V27" s="237"/>
      <c r="W27" s="237"/>
      <c r="X27" s="220"/>
      <c r="Y27" s="220"/>
      <c r="Z27" s="237"/>
      <c r="AA27" s="237"/>
      <c r="AB27" s="237"/>
      <c r="AC27" s="237"/>
      <c r="AD27" s="237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s="228" customFormat="1" ht="18" customHeight="1" hidden="1">
      <c r="A28" s="255"/>
      <c r="B28" s="255">
        <v>23</v>
      </c>
      <c r="C28" s="237">
        <f aca="true" t="shared" si="25" ref="C28:C38">I15</f>
      </c>
      <c r="D28" s="237">
        <f aca="true" t="shared" si="26" ref="D28:D38">J15</f>
      </c>
      <c r="E28" s="237">
        <f aca="true" t="shared" si="27" ref="E28:E38">K15</f>
        <v>0</v>
      </c>
      <c r="F28" s="237">
        <f>'Spielereinsatzliste A2'!D30</f>
      </c>
      <c r="G28" s="220">
        <f t="shared" si="20"/>
      </c>
      <c r="H28" s="220">
        <f t="shared" si="21"/>
      </c>
      <c r="I28" s="220"/>
      <c r="J28" s="220"/>
      <c r="K28" s="237"/>
      <c r="L28" s="237"/>
      <c r="M28" s="237"/>
      <c r="N28" s="220"/>
      <c r="O28" s="220"/>
      <c r="P28" s="237"/>
      <c r="Q28" s="237"/>
      <c r="R28" s="237"/>
      <c r="S28" s="220"/>
      <c r="T28" s="220"/>
      <c r="U28" s="237"/>
      <c r="V28" s="237"/>
      <c r="W28" s="237"/>
      <c r="X28" s="220"/>
      <c r="Y28" s="220"/>
      <c r="Z28" s="237"/>
      <c r="AA28" s="237"/>
      <c r="AB28" s="237"/>
      <c r="AC28" s="237"/>
      <c r="AD28" s="237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s="228" customFormat="1" ht="18" customHeight="1" hidden="1">
      <c r="A29" s="255"/>
      <c r="B29" s="255">
        <v>24</v>
      </c>
      <c r="C29" s="237">
        <f t="shared" si="25"/>
      </c>
      <c r="D29" s="237">
        <f t="shared" si="26"/>
      </c>
      <c r="E29" s="237">
        <f t="shared" si="27"/>
        <v>0</v>
      </c>
      <c r="F29" s="237">
        <f>'Spielereinsatzliste A2'!D31</f>
      </c>
      <c r="G29" s="220">
        <f t="shared" si="20"/>
      </c>
      <c r="H29" s="220">
        <f t="shared" si="21"/>
      </c>
      <c r="I29" s="220"/>
      <c r="J29" s="220"/>
      <c r="K29" s="237"/>
      <c r="L29" s="237"/>
      <c r="M29" s="237"/>
      <c r="N29" s="220"/>
      <c r="O29" s="220"/>
      <c r="P29" s="237"/>
      <c r="Q29" s="237"/>
      <c r="R29" s="237"/>
      <c r="S29" s="220"/>
      <c r="T29" s="220"/>
      <c r="U29" s="237"/>
      <c r="V29" s="237"/>
      <c r="W29" s="237"/>
      <c r="X29" s="220"/>
      <c r="Y29" s="220"/>
      <c r="Z29" s="237"/>
      <c r="AA29" s="237"/>
      <c r="AB29" s="237"/>
      <c r="AC29" s="237"/>
      <c r="AD29" s="237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</row>
    <row r="30" spans="1:44" s="228" customFormat="1" ht="18" customHeight="1" hidden="1">
      <c r="A30" s="255"/>
      <c r="B30" s="255">
        <v>25</v>
      </c>
      <c r="C30" s="237">
        <f t="shared" si="25"/>
      </c>
      <c r="D30" s="237">
        <f t="shared" si="26"/>
      </c>
      <c r="E30" s="237">
        <f t="shared" si="27"/>
        <v>0</v>
      </c>
      <c r="F30" s="237">
        <f>'Spielereinsatzliste A2'!D32</f>
      </c>
      <c r="G30" s="220">
        <f t="shared" si="20"/>
      </c>
      <c r="H30" s="220">
        <f t="shared" si="21"/>
      </c>
      <c r="I30" s="220"/>
      <c r="J30" s="220"/>
      <c r="K30" s="237">
        <f>'Spielereinsatzliste A1'!D10</f>
        <v>0</v>
      </c>
      <c r="L30" s="237"/>
      <c r="M30" s="237"/>
      <c r="N30" s="220"/>
      <c r="O30" s="220"/>
      <c r="P30" s="648">
        <f>'Spielereinsatzliste A1'!G27</f>
      </c>
      <c r="Q30" s="237"/>
      <c r="R30" s="237"/>
      <c r="S30" s="220" t="e">
        <f>IF(K30="","",RANK(P30,P$30:P$39,0))</f>
        <v>#VALUE!</v>
      </c>
      <c r="T30" s="220" t="e">
        <f>IF(K30="","",RANK(P30,P$30:P$39,1))</f>
        <v>#VALUE!</v>
      </c>
      <c r="U30" s="237"/>
      <c r="V30" s="237"/>
      <c r="W30" s="237"/>
      <c r="X30" s="220"/>
      <c r="Y30" s="220"/>
      <c r="Z30" s="237"/>
      <c r="AA30" s="237"/>
      <c r="AB30" s="237"/>
      <c r="AC30" s="237"/>
      <c r="AD30" s="237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1:44" s="228" customFormat="1" ht="18" customHeight="1" hidden="1">
      <c r="A31" s="255"/>
      <c r="B31" s="255">
        <v>26</v>
      </c>
      <c r="C31" s="237">
        <f t="shared" si="25"/>
      </c>
      <c r="D31" s="237">
        <f t="shared" si="26"/>
        <v>0</v>
      </c>
      <c r="E31" s="237">
        <f t="shared" si="27"/>
        <v>0</v>
      </c>
      <c r="F31" s="237">
        <f>'Spielereinsatzliste A2'!D33</f>
      </c>
      <c r="G31" s="220">
        <f t="shared" si="20"/>
      </c>
      <c r="H31" s="220">
        <f t="shared" si="21"/>
      </c>
      <c r="I31" s="220"/>
      <c r="J31" s="220"/>
      <c r="K31" s="237" t="str">
        <f>'Spielereinsatzliste A2'!D10</f>
        <v>NlV Stuttgart</v>
      </c>
      <c r="L31" s="237"/>
      <c r="M31" s="237"/>
      <c r="N31" s="220"/>
      <c r="O31" s="220"/>
      <c r="P31" s="648">
        <f>'Spielereinsatzliste A2'!G27</f>
      </c>
      <c r="Q31" s="237"/>
      <c r="R31" s="237"/>
      <c r="S31" s="220" t="e">
        <f aca="true" t="shared" si="28" ref="S31:S39">IF(K31="","",RANK(P31,P$30:P$39,0))</f>
        <v>#VALUE!</v>
      </c>
      <c r="T31" s="220" t="e">
        <f aca="true" t="shared" si="29" ref="T31:T39">IF(K31="","",RANK(P31,P$30:P$39,1))</f>
        <v>#VALUE!</v>
      </c>
      <c r="U31" s="237"/>
      <c r="V31" s="237"/>
      <c r="W31" s="237"/>
      <c r="X31" s="220"/>
      <c r="Y31" s="220"/>
      <c r="Z31" s="237"/>
      <c r="AA31" s="237"/>
      <c r="AB31" s="237"/>
      <c r="AC31" s="237"/>
      <c r="AD31" s="237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</row>
    <row r="32" spans="1:44" s="228" customFormat="1" ht="18" customHeight="1" hidden="1">
      <c r="A32" s="255"/>
      <c r="B32" s="255">
        <v>27</v>
      </c>
      <c r="C32" s="237">
        <f t="shared" si="25"/>
      </c>
      <c r="D32" s="237">
        <f t="shared" si="26"/>
      </c>
      <c r="E32" s="237">
        <f t="shared" si="27"/>
        <v>0</v>
      </c>
      <c r="F32" s="237">
        <f>'Spielereinsatzliste A2'!D34</f>
      </c>
      <c r="G32" s="220">
        <f t="shared" si="20"/>
      </c>
      <c r="H32" s="220">
        <f t="shared" si="21"/>
      </c>
      <c r="I32" s="220"/>
      <c r="J32" s="220"/>
      <c r="K32" s="237" t="str">
        <f>'Spielereinsatzliste A3'!D10</f>
        <v>TB Oppau</v>
      </c>
      <c r="L32" s="237"/>
      <c r="M32" s="237"/>
      <c r="N32" s="220"/>
      <c r="O32" s="220"/>
      <c r="P32" s="648">
        <f>'Spielereinsatzliste A3'!G27</f>
      </c>
      <c r="Q32" s="237"/>
      <c r="R32" s="237"/>
      <c r="S32" s="220" t="e">
        <f t="shared" si="28"/>
        <v>#VALUE!</v>
      </c>
      <c r="T32" s="220" t="e">
        <f t="shared" si="29"/>
        <v>#VALUE!</v>
      </c>
      <c r="U32" s="237"/>
      <c r="V32" s="237"/>
      <c r="W32" s="237"/>
      <c r="X32" s="220"/>
      <c r="Y32" s="220"/>
      <c r="Z32" s="237"/>
      <c r="AA32" s="237"/>
      <c r="AB32" s="237"/>
      <c r="AC32" s="237"/>
      <c r="AD32" s="237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</row>
    <row r="33" spans="1:44" s="228" customFormat="1" ht="18" customHeight="1" hidden="1">
      <c r="A33" s="255"/>
      <c r="B33" s="255">
        <v>28</v>
      </c>
      <c r="C33" s="237">
        <f t="shared" si="25"/>
      </c>
      <c r="D33" s="237">
        <f t="shared" si="26"/>
      </c>
      <c r="E33" s="237">
        <f t="shared" si="27"/>
        <v>0</v>
      </c>
      <c r="F33" s="237">
        <f>'Spielereinsatzliste A2'!D35</f>
      </c>
      <c r="G33" s="220">
        <f t="shared" si="20"/>
      </c>
      <c r="H33" s="220">
        <f t="shared" si="21"/>
      </c>
      <c r="I33" s="220"/>
      <c r="J33" s="220"/>
      <c r="K33" s="237" t="str">
        <f>'Spielereinsatzliste A4'!D10</f>
        <v>TuS Wickrath</v>
      </c>
      <c r="L33" s="237"/>
      <c r="M33" s="237"/>
      <c r="N33" s="220"/>
      <c r="O33" s="220"/>
      <c r="P33" s="648">
        <f>'Spielereinsatzliste A4'!G27</f>
      </c>
      <c r="Q33" s="237"/>
      <c r="R33" s="237"/>
      <c r="S33" s="220" t="e">
        <f t="shared" si="28"/>
        <v>#VALUE!</v>
      </c>
      <c r="T33" s="220" t="e">
        <f t="shared" si="29"/>
        <v>#VALUE!</v>
      </c>
      <c r="U33" s="237"/>
      <c r="V33" s="237"/>
      <c r="W33" s="237"/>
      <c r="X33" s="220"/>
      <c r="Y33" s="220"/>
      <c r="Z33" s="237"/>
      <c r="AA33" s="237"/>
      <c r="AB33" s="237"/>
      <c r="AC33" s="237"/>
      <c r="AD33" s="237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</row>
    <row r="34" spans="1:44" s="228" customFormat="1" ht="18" customHeight="1" hidden="1">
      <c r="A34" s="255"/>
      <c r="B34" s="255">
        <v>29</v>
      </c>
      <c r="C34" s="237">
        <f t="shared" si="25"/>
      </c>
      <c r="D34" s="237">
        <f t="shared" si="26"/>
      </c>
      <c r="E34" s="237">
        <f t="shared" si="27"/>
        <v>0</v>
      </c>
      <c r="F34" s="237">
        <f>'Spielereinsatzliste A2'!D36</f>
      </c>
      <c r="G34" s="220">
        <f t="shared" si="20"/>
      </c>
      <c r="H34" s="220">
        <f t="shared" si="21"/>
      </c>
      <c r="I34" s="220"/>
      <c r="J34" s="220"/>
      <c r="K34" s="237" t="str">
        <f>'Spielereinsatzliste A5'!D10</f>
        <v>Berliner Turnerschaft</v>
      </c>
      <c r="L34" s="237"/>
      <c r="M34" s="237"/>
      <c r="N34" s="220"/>
      <c r="O34" s="220"/>
      <c r="P34" s="648">
        <f>'Spielereinsatzliste A5'!G27</f>
      </c>
      <c r="Q34" s="237"/>
      <c r="R34" s="237"/>
      <c r="S34" s="220" t="e">
        <f t="shared" si="28"/>
        <v>#VALUE!</v>
      </c>
      <c r="T34" s="220" t="e">
        <f t="shared" si="29"/>
        <v>#VALUE!</v>
      </c>
      <c r="U34" s="237"/>
      <c r="V34" s="237"/>
      <c r="W34" s="237"/>
      <c r="X34" s="220"/>
      <c r="Y34" s="220"/>
      <c r="Z34" s="237"/>
      <c r="AA34" s="237"/>
      <c r="AB34" s="237"/>
      <c r="AC34" s="237"/>
      <c r="AD34" s="237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</row>
    <row r="35" spans="1:44" s="228" customFormat="1" ht="18" customHeight="1" hidden="1">
      <c r="A35" s="255"/>
      <c r="B35" s="255">
        <v>30</v>
      </c>
      <c r="C35" s="237">
        <f t="shared" si="25"/>
      </c>
      <c r="D35" s="237">
        <f t="shared" si="26"/>
      </c>
      <c r="E35" s="237">
        <f t="shared" si="27"/>
        <v>0</v>
      </c>
      <c r="F35" s="237">
        <f>'Spielereinsatzliste A2'!D37</f>
      </c>
      <c r="G35" s="220">
        <f t="shared" si="20"/>
      </c>
      <c r="H35" s="220">
        <f t="shared" si="21"/>
      </c>
      <c r="I35" s="220"/>
      <c r="J35" s="220"/>
      <c r="K35" s="237" t="str">
        <f>'Spielereinsatzliste B1'!D10</f>
        <v>TV Segnitz</v>
      </c>
      <c r="L35" s="237"/>
      <c r="M35" s="237"/>
      <c r="N35" s="220"/>
      <c r="O35" s="220"/>
      <c r="P35" s="648">
        <f>'Spielereinsatzliste B1'!G27</f>
      </c>
      <c r="Q35" s="237"/>
      <c r="R35" s="237"/>
      <c r="S35" s="220" t="e">
        <f t="shared" si="28"/>
        <v>#VALUE!</v>
      </c>
      <c r="T35" s="220" t="e">
        <f t="shared" si="29"/>
        <v>#VALUE!</v>
      </c>
      <c r="U35" s="237"/>
      <c r="V35" s="237"/>
      <c r="W35" s="237"/>
      <c r="X35" s="220"/>
      <c r="Y35" s="220"/>
      <c r="Z35" s="237"/>
      <c r="AA35" s="237"/>
      <c r="AB35" s="237"/>
      <c r="AC35" s="237"/>
      <c r="AD35" s="237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</row>
    <row r="36" spans="1:44" s="228" customFormat="1" ht="18" customHeight="1" hidden="1">
      <c r="A36" s="255"/>
      <c r="B36" s="255">
        <v>31</v>
      </c>
      <c r="C36" s="237">
        <f t="shared" si="25"/>
      </c>
      <c r="D36" s="237">
        <f t="shared" si="26"/>
      </c>
      <c r="E36" s="237">
        <f t="shared" si="27"/>
        <v>0</v>
      </c>
      <c r="F36" s="237">
        <f>'Spielereinsatzliste A2'!D38</f>
      </c>
      <c r="G36" s="220">
        <f t="shared" si="20"/>
      </c>
      <c r="H36" s="220">
        <f t="shared" si="21"/>
      </c>
      <c r="I36" s="220"/>
      <c r="J36" s="220"/>
      <c r="K36" s="237" t="str">
        <f>'Spielereinsatzliste B2'!D10</f>
        <v>TV Hallerstein</v>
      </c>
      <c r="L36" s="237"/>
      <c r="M36" s="237"/>
      <c r="N36" s="220"/>
      <c r="O36" s="220"/>
      <c r="P36" s="648">
        <f>'Spielereinsatzliste B2'!G27</f>
      </c>
      <c r="Q36" s="237"/>
      <c r="R36" s="237"/>
      <c r="S36" s="220" t="e">
        <f t="shared" si="28"/>
        <v>#VALUE!</v>
      </c>
      <c r="T36" s="220" t="e">
        <f t="shared" si="29"/>
        <v>#VALUE!</v>
      </c>
      <c r="U36" s="237"/>
      <c r="V36" s="237"/>
      <c r="W36" s="237"/>
      <c r="X36" s="220"/>
      <c r="Y36" s="220"/>
      <c r="Z36" s="237"/>
      <c r="AA36" s="237"/>
      <c r="AB36" s="237"/>
      <c r="AC36" s="237"/>
      <c r="AD36" s="237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</row>
    <row r="37" spans="1:44" s="228" customFormat="1" ht="18" customHeight="1" hidden="1">
      <c r="A37" s="255"/>
      <c r="B37" s="255">
        <v>32</v>
      </c>
      <c r="C37" s="237">
        <f t="shared" si="25"/>
        <v>0</v>
      </c>
      <c r="D37" s="237">
        <f t="shared" si="26"/>
        <v>0</v>
      </c>
      <c r="E37" s="237">
        <f t="shared" si="27"/>
        <v>0</v>
      </c>
      <c r="F37" s="237"/>
      <c r="G37" s="220">
        <f t="shared" si="20"/>
      </c>
      <c r="H37" s="220">
        <f t="shared" si="21"/>
      </c>
      <c r="I37" s="220"/>
      <c r="J37" s="220"/>
      <c r="K37" s="237" t="str">
        <f>'Spielereinsatzliste B3'!D10</f>
        <v>Ahlhorner SV</v>
      </c>
      <c r="L37" s="237"/>
      <c r="M37" s="237"/>
      <c r="N37" s="220"/>
      <c r="O37" s="220"/>
      <c r="P37" s="648">
        <f>'Spielereinsatzliste B3'!G27</f>
      </c>
      <c r="Q37" s="237"/>
      <c r="R37" s="237"/>
      <c r="S37" s="220" t="e">
        <f t="shared" si="28"/>
        <v>#VALUE!</v>
      </c>
      <c r="T37" s="220" t="e">
        <f t="shared" si="29"/>
        <v>#VALUE!</v>
      </c>
      <c r="U37" s="237"/>
      <c r="V37" s="237"/>
      <c r="W37" s="237"/>
      <c r="X37" s="220"/>
      <c r="Y37" s="220"/>
      <c r="Z37" s="237"/>
      <c r="AA37" s="237"/>
      <c r="AB37" s="237"/>
      <c r="AC37" s="237"/>
      <c r="AD37" s="237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</row>
    <row r="38" spans="1:44" s="228" customFormat="1" ht="18" customHeight="1" hidden="1">
      <c r="A38" s="255"/>
      <c r="B38" s="255">
        <v>33</v>
      </c>
      <c r="C38" s="237">
        <f t="shared" si="25"/>
        <v>0</v>
      </c>
      <c r="D38" s="237">
        <f t="shared" si="26"/>
        <v>0</v>
      </c>
      <c r="E38" s="237">
        <f t="shared" si="27"/>
        <v>0</v>
      </c>
      <c r="F38" s="237"/>
      <c r="G38" s="220">
        <f t="shared" si="20"/>
      </c>
      <c r="H38" s="220">
        <f t="shared" si="21"/>
      </c>
      <c r="I38" s="220"/>
      <c r="J38" s="220"/>
      <c r="K38" s="237" t="str">
        <f>'Spielereinsatzliste B4'!D10</f>
        <v>TV Brettorf</v>
      </c>
      <c r="L38" s="237"/>
      <c r="M38" s="237"/>
      <c r="N38" s="220"/>
      <c r="O38" s="220"/>
      <c r="P38" s="648">
        <f>'Spielereinsatzliste B4'!G27</f>
      </c>
      <c r="Q38" s="237"/>
      <c r="R38" s="237"/>
      <c r="S38" s="220" t="e">
        <f t="shared" si="28"/>
        <v>#VALUE!</v>
      </c>
      <c r="T38" s="220" t="e">
        <f t="shared" si="29"/>
        <v>#VALUE!</v>
      </c>
      <c r="U38" s="237"/>
      <c r="V38" s="237"/>
      <c r="W38" s="237"/>
      <c r="X38" s="220"/>
      <c r="Y38" s="220"/>
      <c r="Z38" s="237"/>
      <c r="AA38" s="237"/>
      <c r="AB38" s="237"/>
      <c r="AC38" s="237"/>
      <c r="AD38" s="237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1:44" s="228" customFormat="1" ht="18" customHeight="1" hidden="1">
      <c r="A39" s="255"/>
      <c r="B39" s="255"/>
      <c r="C39" s="237"/>
      <c r="D39" s="237"/>
      <c r="E39" s="237"/>
      <c r="F39" s="237"/>
      <c r="G39" s="220">
        <f t="shared" si="20"/>
      </c>
      <c r="H39" s="220">
        <f t="shared" si="21"/>
      </c>
      <c r="I39" s="220"/>
      <c r="J39" s="220"/>
      <c r="K39" s="237" t="str">
        <f>'Spielereinsatzliste B5'!D10</f>
        <v>TSV Lola</v>
      </c>
      <c r="L39" s="237"/>
      <c r="M39" s="237"/>
      <c r="N39" s="220"/>
      <c r="O39" s="220"/>
      <c r="P39" s="648">
        <f>'Spielereinsatzliste B5'!G27</f>
      </c>
      <c r="Q39" s="237"/>
      <c r="R39" s="237"/>
      <c r="S39" s="220" t="e">
        <f t="shared" si="28"/>
        <v>#VALUE!</v>
      </c>
      <c r="T39" s="220" t="e">
        <f t="shared" si="29"/>
        <v>#VALUE!</v>
      </c>
      <c r="U39" s="237"/>
      <c r="V39" s="237"/>
      <c r="W39" s="237"/>
      <c r="X39" s="220"/>
      <c r="Y39" s="220"/>
      <c r="Z39" s="237"/>
      <c r="AA39" s="237"/>
      <c r="AB39" s="237"/>
      <c r="AC39" s="237"/>
      <c r="AD39" s="237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</row>
    <row r="40" spans="1:44" s="228" customFormat="1" ht="18" customHeight="1" hidden="1">
      <c r="A40" s="255"/>
      <c r="B40" s="255">
        <v>34</v>
      </c>
      <c r="C40" s="237">
        <f>N14</f>
        <v>0</v>
      </c>
      <c r="D40" s="237">
        <f>O14</f>
        <v>0</v>
      </c>
      <c r="E40" s="237">
        <f>P14</f>
        <v>0</v>
      </c>
      <c r="F40" s="237">
        <f>'Spielereinsatzliste A3'!D29</f>
      </c>
      <c r="G40" s="220">
        <f t="shared" si="20"/>
      </c>
      <c r="H40" s="220">
        <f t="shared" si="21"/>
      </c>
      <c r="I40" s="220"/>
      <c r="J40" s="220"/>
      <c r="K40" s="237"/>
      <c r="L40" s="237"/>
      <c r="M40" s="237"/>
      <c r="N40" s="220"/>
      <c r="O40" s="220"/>
      <c r="P40" s="237"/>
      <c r="Q40" s="237"/>
      <c r="R40" s="237"/>
      <c r="S40" s="220"/>
      <c r="T40" s="220"/>
      <c r="U40" s="237"/>
      <c r="V40" s="237"/>
      <c r="W40" s="237"/>
      <c r="X40" s="220"/>
      <c r="Y40" s="220"/>
      <c r="Z40" s="237"/>
      <c r="AA40" s="237"/>
      <c r="AB40" s="237"/>
      <c r="AC40" s="237"/>
      <c r="AD40" s="237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</row>
    <row r="41" spans="1:44" s="228" customFormat="1" ht="18" customHeight="1" hidden="1">
      <c r="A41" s="255"/>
      <c r="B41" s="255">
        <v>35</v>
      </c>
      <c r="C41" s="237">
        <f aca="true" t="shared" si="30" ref="C41:C51">N15</f>
        <v>0</v>
      </c>
      <c r="D41" s="237">
        <f aca="true" t="shared" si="31" ref="D41:D51">O15</f>
        <v>0</v>
      </c>
      <c r="E41" s="237">
        <f aca="true" t="shared" si="32" ref="E41:E51">P15</f>
        <v>0</v>
      </c>
      <c r="F41" s="237">
        <f>'Spielereinsatzliste A3'!D30</f>
      </c>
      <c r="G41" s="220">
        <f t="shared" si="20"/>
      </c>
      <c r="H41" s="220">
        <f t="shared" si="21"/>
      </c>
      <c r="I41" s="220"/>
      <c r="J41" s="220"/>
      <c r="K41" s="237"/>
      <c r="L41" s="237"/>
      <c r="M41" s="237"/>
      <c r="N41" s="220"/>
      <c r="O41" s="220"/>
      <c r="P41" s="237"/>
      <c r="Q41" s="237"/>
      <c r="R41" s="237"/>
      <c r="S41" s="220"/>
      <c r="T41" s="220"/>
      <c r="U41" s="237"/>
      <c r="V41" s="237"/>
      <c r="W41" s="237"/>
      <c r="X41" s="220"/>
      <c r="Y41" s="220"/>
      <c r="Z41" s="237"/>
      <c r="AA41" s="237"/>
      <c r="AB41" s="237"/>
      <c r="AC41" s="237"/>
      <c r="AD41" s="237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</row>
    <row r="42" spans="1:44" s="228" customFormat="1" ht="18" customHeight="1" hidden="1">
      <c r="A42" s="255"/>
      <c r="B42" s="255">
        <v>36</v>
      </c>
      <c r="C42" s="237">
        <f t="shared" si="30"/>
        <v>0</v>
      </c>
      <c r="D42" s="237">
        <f t="shared" si="31"/>
      </c>
      <c r="E42" s="237">
        <f t="shared" si="32"/>
        <v>0</v>
      </c>
      <c r="F42" s="237">
        <f>'Spielereinsatzliste A3'!D31</f>
      </c>
      <c r="G42" s="220">
        <f t="shared" si="20"/>
      </c>
      <c r="H42" s="220">
        <f t="shared" si="21"/>
      </c>
      <c r="I42" s="220"/>
      <c r="J42" s="220"/>
      <c r="K42" s="237"/>
      <c r="L42" s="237"/>
      <c r="M42" s="237"/>
      <c r="N42" s="220"/>
      <c r="O42" s="220"/>
      <c r="P42" s="237"/>
      <c r="Q42" s="237"/>
      <c r="R42" s="237"/>
      <c r="S42" s="220"/>
      <c r="T42" s="220"/>
      <c r="U42" s="237"/>
      <c r="V42" s="237"/>
      <c r="W42" s="237"/>
      <c r="X42" s="220"/>
      <c r="Y42" s="220"/>
      <c r="Z42" s="237"/>
      <c r="AA42" s="237"/>
      <c r="AB42" s="237"/>
      <c r="AC42" s="237"/>
      <c r="AD42" s="237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s="228" customFormat="1" ht="18" customHeight="1" hidden="1">
      <c r="A43" s="255"/>
      <c r="B43" s="255">
        <v>37</v>
      </c>
      <c r="C43" s="237">
        <f t="shared" si="30"/>
        <v>0</v>
      </c>
      <c r="D43" s="237">
        <f t="shared" si="31"/>
      </c>
      <c r="E43" s="237">
        <f t="shared" si="32"/>
        <v>0</v>
      </c>
      <c r="F43" s="237">
        <f>'Spielereinsatzliste A3'!D32</f>
      </c>
      <c r="G43" s="220">
        <f t="shared" si="20"/>
      </c>
      <c r="H43" s="220">
        <f t="shared" si="21"/>
      </c>
      <c r="I43" s="220"/>
      <c r="J43" s="220"/>
      <c r="K43" s="237"/>
      <c r="L43" s="237"/>
      <c r="M43" s="237"/>
      <c r="N43" s="220"/>
      <c r="O43" s="220"/>
      <c r="P43" s="237"/>
      <c r="Q43" s="237"/>
      <c r="R43" s="237"/>
      <c r="S43" s="220"/>
      <c r="T43" s="220"/>
      <c r="U43" s="237"/>
      <c r="V43" s="237"/>
      <c r="W43" s="237"/>
      <c r="X43" s="220"/>
      <c r="Y43" s="220"/>
      <c r="Z43" s="237"/>
      <c r="AA43" s="237"/>
      <c r="AB43" s="237"/>
      <c r="AC43" s="237"/>
      <c r="AD43" s="237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</row>
    <row r="44" spans="1:44" s="228" customFormat="1" ht="18" customHeight="1" hidden="1">
      <c r="A44" s="255"/>
      <c r="B44" s="255">
        <v>38</v>
      </c>
      <c r="C44" s="237">
        <f t="shared" si="30"/>
        <v>0</v>
      </c>
      <c r="D44" s="237">
        <f t="shared" si="31"/>
      </c>
      <c r="E44" s="237">
        <f t="shared" si="32"/>
        <v>0</v>
      </c>
      <c r="F44" s="237">
        <f>'Spielereinsatzliste A3'!D33</f>
      </c>
      <c r="G44" s="220">
        <f t="shared" si="20"/>
      </c>
      <c r="H44" s="220">
        <f t="shared" si="21"/>
      </c>
      <c r="I44" s="220"/>
      <c r="J44" s="220"/>
      <c r="K44" s="237"/>
      <c r="L44" s="237"/>
      <c r="M44" s="237"/>
      <c r="N44" s="220"/>
      <c r="O44" s="220"/>
      <c r="P44" s="237"/>
      <c r="Q44" s="237"/>
      <c r="R44" s="237"/>
      <c r="S44" s="220"/>
      <c r="T44" s="220"/>
      <c r="U44" s="237"/>
      <c r="V44" s="237"/>
      <c r="W44" s="237"/>
      <c r="X44" s="220"/>
      <c r="Y44" s="220"/>
      <c r="Z44" s="237"/>
      <c r="AA44" s="237"/>
      <c r="AB44" s="237"/>
      <c r="AC44" s="237"/>
      <c r="AD44" s="237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</row>
    <row r="45" spans="1:44" s="228" customFormat="1" ht="18" customHeight="1" hidden="1">
      <c r="A45" s="255"/>
      <c r="B45" s="255">
        <v>39</v>
      </c>
      <c r="C45" s="237">
        <f t="shared" si="30"/>
        <v>0</v>
      </c>
      <c r="D45" s="237">
        <f t="shared" si="31"/>
      </c>
      <c r="E45" s="237">
        <f t="shared" si="32"/>
        <v>0</v>
      </c>
      <c r="F45" s="237">
        <f>'Spielereinsatzliste A3'!D34</f>
      </c>
      <c r="G45" s="220">
        <f t="shared" si="20"/>
      </c>
      <c r="H45" s="220">
        <f t="shared" si="21"/>
      </c>
      <c r="I45" s="220"/>
      <c r="J45" s="220"/>
      <c r="K45" s="237"/>
      <c r="L45" s="237"/>
      <c r="M45" s="237"/>
      <c r="N45" s="220"/>
      <c r="O45" s="220"/>
      <c r="P45" s="237"/>
      <c r="Q45" s="237"/>
      <c r="R45" s="237"/>
      <c r="S45" s="220"/>
      <c r="T45" s="220"/>
      <c r="U45" s="237"/>
      <c r="V45" s="237"/>
      <c r="W45" s="237"/>
      <c r="X45" s="220"/>
      <c r="Y45" s="220"/>
      <c r="Z45" s="237"/>
      <c r="AA45" s="237"/>
      <c r="AB45" s="237"/>
      <c r="AC45" s="237"/>
      <c r="AD45" s="237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1:44" s="228" customFormat="1" ht="18" customHeight="1" hidden="1">
      <c r="A46" s="255"/>
      <c r="B46" s="255">
        <v>40</v>
      </c>
      <c r="C46" s="237">
        <f t="shared" si="30"/>
        <v>0</v>
      </c>
      <c r="D46" s="237">
        <f t="shared" si="31"/>
      </c>
      <c r="E46" s="237">
        <f t="shared" si="32"/>
        <v>0</v>
      </c>
      <c r="F46" s="237">
        <f>'Spielereinsatzliste A3'!D35</f>
      </c>
      <c r="G46" s="220">
        <f t="shared" si="20"/>
      </c>
      <c r="H46" s="220">
        <f t="shared" si="21"/>
      </c>
      <c r="I46" s="220"/>
      <c r="J46" s="220"/>
      <c r="K46" s="237"/>
      <c r="L46" s="237"/>
      <c r="M46" s="237"/>
      <c r="N46" s="220"/>
      <c r="O46" s="220"/>
      <c r="P46" s="237"/>
      <c r="Q46" s="237"/>
      <c r="R46" s="237"/>
      <c r="S46" s="220"/>
      <c r="T46" s="220"/>
      <c r="U46" s="237"/>
      <c r="V46" s="237"/>
      <c r="W46" s="237"/>
      <c r="X46" s="220"/>
      <c r="Y46" s="220"/>
      <c r="Z46" s="237"/>
      <c r="AA46" s="237"/>
      <c r="AB46" s="237"/>
      <c r="AC46" s="237"/>
      <c r="AD46" s="237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</row>
    <row r="47" spans="1:44" s="228" customFormat="1" ht="18" customHeight="1" hidden="1">
      <c r="A47" s="255"/>
      <c r="B47" s="255">
        <v>41</v>
      </c>
      <c r="C47" s="237">
        <f t="shared" si="30"/>
        <v>0</v>
      </c>
      <c r="D47" s="237">
        <f t="shared" si="31"/>
      </c>
      <c r="E47" s="237">
        <f t="shared" si="32"/>
        <v>0</v>
      </c>
      <c r="F47" s="237">
        <f>'Spielereinsatzliste A3'!D36</f>
      </c>
      <c r="G47" s="220">
        <f t="shared" si="20"/>
      </c>
      <c r="H47" s="220">
        <f t="shared" si="21"/>
      </c>
      <c r="I47" s="220"/>
      <c r="J47" s="220"/>
      <c r="K47" s="237"/>
      <c r="L47" s="237"/>
      <c r="M47" s="237"/>
      <c r="N47" s="220"/>
      <c r="O47" s="220"/>
      <c r="P47" s="237"/>
      <c r="Q47" s="237"/>
      <c r="R47" s="237"/>
      <c r="S47" s="220"/>
      <c r="T47" s="220"/>
      <c r="U47" s="237"/>
      <c r="V47" s="237"/>
      <c r="W47" s="237"/>
      <c r="X47" s="220"/>
      <c r="Y47" s="220"/>
      <c r="Z47" s="237"/>
      <c r="AA47" s="237"/>
      <c r="AB47" s="237"/>
      <c r="AC47" s="237"/>
      <c r="AD47" s="237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</row>
    <row r="48" spans="1:44" s="228" customFormat="1" ht="18" customHeight="1" hidden="1">
      <c r="A48" s="255"/>
      <c r="B48" s="255">
        <v>42</v>
      </c>
      <c r="C48" s="237">
        <f t="shared" si="30"/>
      </c>
      <c r="D48" s="237">
        <f t="shared" si="31"/>
      </c>
      <c r="E48" s="237">
        <f t="shared" si="32"/>
        <v>0</v>
      </c>
      <c r="F48" s="237">
        <f>'Spielereinsatzliste A3'!D37</f>
      </c>
      <c r="G48" s="220">
        <f t="shared" si="20"/>
      </c>
      <c r="H48" s="220">
        <f t="shared" si="21"/>
      </c>
      <c r="I48" s="220"/>
      <c r="J48" s="220"/>
      <c r="K48" s="237"/>
      <c r="L48" s="237"/>
      <c r="M48" s="237"/>
      <c r="N48" s="220"/>
      <c r="O48" s="220"/>
      <c r="P48" s="237"/>
      <c r="Q48" s="237"/>
      <c r="R48" s="237"/>
      <c r="S48" s="220"/>
      <c r="T48" s="220"/>
      <c r="U48" s="237"/>
      <c r="V48" s="237"/>
      <c r="W48" s="237"/>
      <c r="X48" s="220"/>
      <c r="Y48" s="220"/>
      <c r="Z48" s="237"/>
      <c r="AA48" s="237"/>
      <c r="AB48" s="237"/>
      <c r="AC48" s="237"/>
      <c r="AD48" s="237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</row>
    <row r="49" spans="1:44" s="228" customFormat="1" ht="18" customHeight="1" hidden="1">
      <c r="A49" s="255"/>
      <c r="B49" s="255">
        <v>43</v>
      </c>
      <c r="C49" s="237">
        <f t="shared" si="30"/>
      </c>
      <c r="D49" s="237">
        <f t="shared" si="31"/>
      </c>
      <c r="E49" s="237">
        <f t="shared" si="32"/>
        <v>0</v>
      </c>
      <c r="F49" s="237">
        <f>'Spielereinsatzliste A3'!D38</f>
      </c>
      <c r="G49" s="220">
        <f t="shared" si="20"/>
      </c>
      <c r="H49" s="220">
        <f t="shared" si="21"/>
      </c>
      <c r="I49" s="220"/>
      <c r="J49" s="220"/>
      <c r="K49" s="237"/>
      <c r="L49" s="237"/>
      <c r="M49" s="237"/>
      <c r="N49" s="220"/>
      <c r="O49" s="220"/>
      <c r="P49" s="237"/>
      <c r="Q49" s="237"/>
      <c r="R49" s="237"/>
      <c r="S49" s="220"/>
      <c r="T49" s="220"/>
      <c r="U49" s="237"/>
      <c r="V49" s="237"/>
      <c r="W49" s="237"/>
      <c r="X49" s="220"/>
      <c r="Y49" s="220"/>
      <c r="Z49" s="237"/>
      <c r="AA49" s="237"/>
      <c r="AB49" s="237"/>
      <c r="AC49" s="237"/>
      <c r="AD49" s="237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</row>
    <row r="50" spans="1:44" s="228" customFormat="1" ht="18" customHeight="1" hidden="1">
      <c r="A50" s="255"/>
      <c r="B50" s="255">
        <v>44</v>
      </c>
      <c r="C50" s="237">
        <f t="shared" si="30"/>
        <v>0</v>
      </c>
      <c r="D50" s="237">
        <f t="shared" si="31"/>
        <v>0</v>
      </c>
      <c r="E50" s="237">
        <f t="shared" si="32"/>
        <v>0</v>
      </c>
      <c r="F50" s="237"/>
      <c r="G50" s="220">
        <f t="shared" si="20"/>
      </c>
      <c r="H50" s="220">
        <f t="shared" si="21"/>
      </c>
      <c r="I50" s="220"/>
      <c r="J50" s="220"/>
      <c r="K50" s="237"/>
      <c r="L50" s="237"/>
      <c r="M50" s="237"/>
      <c r="N50" s="220"/>
      <c r="O50" s="220"/>
      <c r="P50" s="237"/>
      <c r="Q50" s="237"/>
      <c r="R50" s="237"/>
      <c r="S50" s="220"/>
      <c r="T50" s="220"/>
      <c r="U50" s="237"/>
      <c r="V50" s="237"/>
      <c r="W50" s="237"/>
      <c r="X50" s="220"/>
      <c r="Y50" s="220"/>
      <c r="Z50" s="237"/>
      <c r="AA50" s="237"/>
      <c r="AB50" s="237"/>
      <c r="AC50" s="237"/>
      <c r="AD50" s="237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</row>
    <row r="51" spans="1:44" s="228" customFormat="1" ht="18" customHeight="1" hidden="1">
      <c r="A51" s="255"/>
      <c r="B51" s="255">
        <v>45</v>
      </c>
      <c r="C51" s="237">
        <f t="shared" si="30"/>
        <v>0</v>
      </c>
      <c r="D51" s="237">
        <f t="shared" si="31"/>
        <v>0</v>
      </c>
      <c r="E51" s="237">
        <f t="shared" si="32"/>
        <v>0</v>
      </c>
      <c r="F51" s="237"/>
      <c r="G51" s="220">
        <f t="shared" si="20"/>
      </c>
      <c r="H51" s="220">
        <f t="shared" si="21"/>
      </c>
      <c r="I51" s="220"/>
      <c r="J51" s="220"/>
      <c r="K51" s="237"/>
      <c r="L51" s="237"/>
      <c r="M51" s="237"/>
      <c r="N51" s="220"/>
      <c r="O51" s="220"/>
      <c r="P51" s="237"/>
      <c r="Q51" s="237"/>
      <c r="R51" s="237"/>
      <c r="S51" s="220"/>
      <c r="T51" s="220"/>
      <c r="U51" s="237"/>
      <c r="V51" s="237"/>
      <c r="W51" s="237"/>
      <c r="X51" s="220"/>
      <c r="Y51" s="220"/>
      <c r="Z51" s="237"/>
      <c r="AA51" s="237"/>
      <c r="AB51" s="237"/>
      <c r="AC51" s="237"/>
      <c r="AD51" s="237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</row>
    <row r="52" spans="1:44" s="228" customFormat="1" ht="18" customHeight="1" hidden="1">
      <c r="A52" s="255"/>
      <c r="B52" s="255"/>
      <c r="C52" s="237"/>
      <c r="D52" s="237"/>
      <c r="E52" s="237"/>
      <c r="F52" s="237"/>
      <c r="G52" s="220">
        <f t="shared" si="20"/>
      </c>
      <c r="H52" s="220">
        <f t="shared" si="21"/>
      </c>
      <c r="I52" s="220"/>
      <c r="J52" s="220"/>
      <c r="K52" s="237"/>
      <c r="L52" s="237"/>
      <c r="M52" s="237"/>
      <c r="N52" s="220"/>
      <c r="O52" s="220"/>
      <c r="P52" s="237"/>
      <c r="Q52" s="237"/>
      <c r="R52" s="237"/>
      <c r="S52" s="220"/>
      <c r="T52" s="220"/>
      <c r="U52" s="237"/>
      <c r="V52" s="237"/>
      <c r="W52" s="237"/>
      <c r="X52" s="220"/>
      <c r="Y52" s="220"/>
      <c r="Z52" s="237"/>
      <c r="AA52" s="237"/>
      <c r="AB52" s="237"/>
      <c r="AC52" s="237"/>
      <c r="AD52" s="237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</row>
    <row r="53" spans="1:44" s="228" customFormat="1" ht="18" customHeight="1" hidden="1">
      <c r="A53" s="255"/>
      <c r="B53" s="255">
        <v>46</v>
      </c>
      <c r="C53" s="237">
        <f>S14</f>
      </c>
      <c r="D53" s="237">
        <f>T14</f>
        <v>0</v>
      </c>
      <c r="E53" s="237" t="str">
        <f>U14</f>
        <v>Leppert, Maximilian</v>
      </c>
      <c r="F53" s="237">
        <f>'Spielereinsatzliste A4'!D29</f>
      </c>
      <c r="G53" s="220">
        <f t="shared" si="20"/>
      </c>
      <c r="H53" s="220">
        <f t="shared" si="21"/>
      </c>
      <c r="I53" s="220"/>
      <c r="J53" s="220"/>
      <c r="K53" s="237"/>
      <c r="L53" s="237"/>
      <c r="M53" s="237"/>
      <c r="N53" s="220"/>
      <c r="O53" s="220"/>
      <c r="P53" s="237"/>
      <c r="Q53" s="237"/>
      <c r="R53" s="237"/>
      <c r="S53" s="220"/>
      <c r="T53" s="220"/>
      <c r="U53" s="237"/>
      <c r="V53" s="237"/>
      <c r="W53" s="237"/>
      <c r="X53" s="220"/>
      <c r="Y53" s="220"/>
      <c r="Z53" s="237"/>
      <c r="AA53" s="237"/>
      <c r="AB53" s="237"/>
      <c r="AC53" s="237"/>
      <c r="AD53" s="237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</row>
    <row r="54" spans="1:44" s="228" customFormat="1" ht="18" customHeight="1" hidden="1">
      <c r="A54" s="255"/>
      <c r="B54" s="255">
        <v>47</v>
      </c>
      <c r="C54" s="237">
        <f aca="true" t="shared" si="33" ref="C54:C64">S15</f>
      </c>
      <c r="D54" s="237">
        <f aca="true" t="shared" si="34" ref="D54:D64">T15</f>
      </c>
      <c r="E54" s="237" t="str">
        <f aca="true" t="shared" si="35" ref="E54:E64">U15</f>
        <v>Hoverath, Maximilian</v>
      </c>
      <c r="F54" s="237">
        <f>'Spielereinsatzliste A4'!D30</f>
      </c>
      <c r="G54" s="220">
        <f t="shared" si="20"/>
      </c>
      <c r="H54" s="220">
        <f t="shared" si="21"/>
      </c>
      <c r="I54" s="220"/>
      <c r="J54" s="220"/>
      <c r="K54" s="237"/>
      <c r="L54" s="237"/>
      <c r="M54" s="237"/>
      <c r="N54" s="220"/>
      <c r="O54" s="220"/>
      <c r="P54" s="237"/>
      <c r="Q54" s="237"/>
      <c r="R54" s="237"/>
      <c r="S54" s="220"/>
      <c r="T54" s="220"/>
      <c r="U54" s="237"/>
      <c r="V54" s="237"/>
      <c r="W54" s="237"/>
      <c r="X54" s="220"/>
      <c r="Y54" s="220"/>
      <c r="Z54" s="237"/>
      <c r="AA54" s="237"/>
      <c r="AB54" s="237"/>
      <c r="AC54" s="237"/>
      <c r="AD54" s="237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</row>
    <row r="55" spans="1:44" s="228" customFormat="1" ht="18" customHeight="1" hidden="1">
      <c r="A55" s="255"/>
      <c r="B55" s="255">
        <v>48</v>
      </c>
      <c r="C55" s="237">
        <f t="shared" si="33"/>
      </c>
      <c r="D55" s="237">
        <f t="shared" si="34"/>
      </c>
      <c r="E55" s="237" t="str">
        <f t="shared" si="35"/>
        <v>Schiffer, Lukas</v>
      </c>
      <c r="F55" s="237">
        <f>'Spielereinsatzliste A4'!D31</f>
      </c>
      <c r="G55" s="220">
        <f t="shared" si="20"/>
      </c>
      <c r="H55" s="220">
        <f t="shared" si="21"/>
      </c>
      <c r="I55" s="220"/>
      <c r="J55" s="220"/>
      <c r="K55" s="237"/>
      <c r="L55" s="237"/>
      <c r="M55" s="237"/>
      <c r="N55" s="220"/>
      <c r="O55" s="220"/>
      <c r="P55" s="237"/>
      <c r="Q55" s="237"/>
      <c r="R55" s="237"/>
      <c r="S55" s="220"/>
      <c r="T55" s="220"/>
      <c r="U55" s="237"/>
      <c r="V55" s="237"/>
      <c r="W55" s="237"/>
      <c r="X55" s="220"/>
      <c r="Y55" s="220"/>
      <c r="Z55" s="237"/>
      <c r="AA55" s="237"/>
      <c r="AB55" s="237"/>
      <c r="AC55" s="237"/>
      <c r="AD55" s="237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</row>
    <row r="56" spans="1:44" s="228" customFormat="1" ht="18" customHeight="1" hidden="1">
      <c r="A56" s="255"/>
      <c r="B56" s="255">
        <v>49</v>
      </c>
      <c r="C56" s="237">
        <f t="shared" si="33"/>
      </c>
      <c r="D56" s="237">
        <f t="shared" si="34"/>
        <v>0</v>
      </c>
      <c r="E56" s="237" t="str">
        <f t="shared" si="35"/>
        <v>Kellers, Jan</v>
      </c>
      <c r="F56" s="237">
        <f>'Spielereinsatzliste A4'!D32</f>
      </c>
      <c r="G56" s="220">
        <f t="shared" si="20"/>
      </c>
      <c r="H56" s="220">
        <f t="shared" si="21"/>
      </c>
      <c r="I56" s="220"/>
      <c r="J56" s="220"/>
      <c r="K56" s="237"/>
      <c r="L56" s="237"/>
      <c r="M56" s="237"/>
      <c r="N56" s="220"/>
      <c r="O56" s="220"/>
      <c r="P56" s="237"/>
      <c r="Q56" s="237"/>
      <c r="R56" s="237"/>
      <c r="S56" s="220"/>
      <c r="T56" s="220"/>
      <c r="U56" s="237"/>
      <c r="V56" s="237"/>
      <c r="W56" s="237"/>
      <c r="X56" s="220"/>
      <c r="Y56" s="220"/>
      <c r="Z56" s="237"/>
      <c r="AA56" s="237"/>
      <c r="AB56" s="237"/>
      <c r="AC56" s="237"/>
      <c r="AD56" s="237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</row>
    <row r="57" spans="1:44" s="228" customFormat="1" ht="18" customHeight="1" hidden="1">
      <c r="A57" s="255"/>
      <c r="B57" s="255">
        <v>50</v>
      </c>
      <c r="C57" s="237">
        <f t="shared" si="33"/>
      </c>
      <c r="D57" s="237">
        <f t="shared" si="34"/>
      </c>
      <c r="E57" s="237" t="str">
        <f t="shared" si="35"/>
        <v>Stepprath, Niklas</v>
      </c>
      <c r="F57" s="237">
        <f>'Spielereinsatzliste A4'!D33</f>
      </c>
      <c r="G57" s="220">
        <f t="shared" si="20"/>
      </c>
      <c r="H57" s="220">
        <f t="shared" si="21"/>
      </c>
      <c r="I57" s="220"/>
      <c r="J57" s="220"/>
      <c r="K57" s="237"/>
      <c r="L57" s="237"/>
      <c r="M57" s="237"/>
      <c r="N57" s="220"/>
      <c r="O57" s="220"/>
      <c r="P57" s="237"/>
      <c r="Q57" s="237"/>
      <c r="R57" s="237"/>
      <c r="S57" s="220"/>
      <c r="T57" s="220"/>
      <c r="U57" s="237"/>
      <c r="V57" s="237"/>
      <c r="W57" s="237"/>
      <c r="X57" s="220"/>
      <c r="Y57" s="220"/>
      <c r="Z57" s="237"/>
      <c r="AA57" s="237"/>
      <c r="AB57" s="237"/>
      <c r="AC57" s="237"/>
      <c r="AD57" s="237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</row>
    <row r="58" spans="1:44" s="228" customFormat="1" ht="18" customHeight="1" hidden="1">
      <c r="A58" s="255"/>
      <c r="B58" s="255">
        <v>51</v>
      </c>
      <c r="C58" s="237">
        <f t="shared" si="33"/>
      </c>
      <c r="D58" s="237">
        <f t="shared" si="34"/>
      </c>
      <c r="E58" s="237">
        <f t="shared" si="35"/>
        <v>0</v>
      </c>
      <c r="F58" s="237">
        <f>'Spielereinsatzliste A4'!D34</f>
      </c>
      <c r="G58" s="220">
        <f t="shared" si="20"/>
      </c>
      <c r="H58" s="220">
        <f t="shared" si="21"/>
      </c>
      <c r="I58" s="220"/>
      <c r="J58" s="220"/>
      <c r="K58" s="237"/>
      <c r="L58" s="237"/>
      <c r="M58" s="237"/>
      <c r="N58" s="220"/>
      <c r="O58" s="220"/>
      <c r="P58" s="237"/>
      <c r="Q58" s="237"/>
      <c r="R58" s="237"/>
      <c r="S58" s="220"/>
      <c r="T58" s="220"/>
      <c r="U58" s="237"/>
      <c r="V58" s="237"/>
      <c r="W58" s="237"/>
      <c r="X58" s="220"/>
      <c r="Y58" s="220"/>
      <c r="Z58" s="237"/>
      <c r="AA58" s="237"/>
      <c r="AB58" s="237"/>
      <c r="AC58" s="237"/>
      <c r="AD58" s="237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</row>
    <row r="59" spans="1:44" s="228" customFormat="1" ht="18" customHeight="1" hidden="1">
      <c r="A59" s="255"/>
      <c r="B59" s="255">
        <v>52</v>
      </c>
      <c r="C59" s="237">
        <f t="shared" si="33"/>
      </c>
      <c r="D59" s="237">
        <f t="shared" si="34"/>
      </c>
      <c r="E59" s="237">
        <f t="shared" si="35"/>
        <v>0</v>
      </c>
      <c r="F59" s="237">
        <f>'Spielereinsatzliste A4'!D35</f>
      </c>
      <c r="G59" s="220">
        <f t="shared" si="20"/>
      </c>
      <c r="H59" s="220">
        <f t="shared" si="21"/>
      </c>
      <c r="I59" s="220"/>
      <c r="J59" s="220"/>
      <c r="K59" s="237"/>
      <c r="L59" s="237"/>
      <c r="M59" s="237"/>
      <c r="N59" s="220"/>
      <c r="O59" s="220"/>
      <c r="P59" s="237"/>
      <c r="Q59" s="237"/>
      <c r="R59" s="237"/>
      <c r="S59" s="220"/>
      <c r="T59" s="220"/>
      <c r="U59" s="237"/>
      <c r="V59" s="237"/>
      <c r="W59" s="237"/>
      <c r="X59" s="220"/>
      <c r="Y59" s="220"/>
      <c r="Z59" s="237"/>
      <c r="AA59" s="237"/>
      <c r="AB59" s="237"/>
      <c r="AC59" s="237"/>
      <c r="AD59" s="237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</row>
    <row r="60" spans="1:44" s="228" customFormat="1" ht="18" customHeight="1" hidden="1">
      <c r="A60" s="255"/>
      <c r="B60" s="255">
        <v>53</v>
      </c>
      <c r="C60" s="237">
        <f t="shared" si="33"/>
      </c>
      <c r="D60" s="237">
        <f t="shared" si="34"/>
      </c>
      <c r="E60" s="237">
        <f t="shared" si="35"/>
        <v>0</v>
      </c>
      <c r="F60" s="237">
        <f>'Spielereinsatzliste A4'!D36</f>
      </c>
      <c r="G60" s="220">
        <f t="shared" si="20"/>
      </c>
      <c r="H60" s="220">
        <f t="shared" si="21"/>
      </c>
      <c r="I60" s="220"/>
      <c r="J60" s="220"/>
      <c r="K60" s="237"/>
      <c r="L60" s="237"/>
      <c r="M60" s="237"/>
      <c r="N60" s="220"/>
      <c r="O60" s="220"/>
      <c r="P60" s="237"/>
      <c r="Q60" s="237"/>
      <c r="R60" s="237"/>
      <c r="S60" s="220"/>
      <c r="T60" s="220"/>
      <c r="U60" s="237"/>
      <c r="V60" s="237"/>
      <c r="W60" s="237"/>
      <c r="X60" s="220"/>
      <c r="Y60" s="220"/>
      <c r="Z60" s="237"/>
      <c r="AA60" s="237"/>
      <c r="AB60" s="237"/>
      <c r="AC60" s="237"/>
      <c r="AD60" s="237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</row>
    <row r="61" spans="1:44" s="228" customFormat="1" ht="18" customHeight="1" hidden="1">
      <c r="A61" s="255"/>
      <c r="B61" s="255">
        <v>54</v>
      </c>
      <c r="C61" s="237">
        <f t="shared" si="33"/>
      </c>
      <c r="D61" s="237">
        <f t="shared" si="34"/>
      </c>
      <c r="E61" s="237">
        <f t="shared" si="35"/>
        <v>0</v>
      </c>
      <c r="F61" s="237">
        <f>'Spielereinsatzliste A4'!D37</f>
      </c>
      <c r="G61" s="220">
        <f t="shared" si="20"/>
      </c>
      <c r="H61" s="220">
        <f t="shared" si="21"/>
      </c>
      <c r="I61" s="220"/>
      <c r="J61" s="220"/>
      <c r="K61" s="237"/>
      <c r="L61" s="237"/>
      <c r="M61" s="237"/>
      <c r="N61" s="220"/>
      <c r="O61" s="220"/>
      <c r="P61" s="237"/>
      <c r="Q61" s="237"/>
      <c r="R61" s="237"/>
      <c r="S61" s="220"/>
      <c r="T61" s="220"/>
      <c r="U61" s="237"/>
      <c r="V61" s="237"/>
      <c r="W61" s="237"/>
      <c r="X61" s="220"/>
      <c r="Y61" s="220"/>
      <c r="Z61" s="237"/>
      <c r="AA61" s="237"/>
      <c r="AB61" s="237"/>
      <c r="AC61" s="237"/>
      <c r="AD61" s="237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</row>
    <row r="62" spans="1:44" s="228" customFormat="1" ht="18" customHeight="1" hidden="1">
      <c r="A62" s="255"/>
      <c r="B62" s="255">
        <v>55</v>
      </c>
      <c r="C62" s="237">
        <f t="shared" si="33"/>
      </c>
      <c r="D62" s="237">
        <f t="shared" si="34"/>
      </c>
      <c r="E62" s="237">
        <f t="shared" si="35"/>
        <v>0</v>
      </c>
      <c r="F62" s="237">
        <f>'Spielereinsatzliste A4'!D38</f>
      </c>
      <c r="G62" s="220">
        <f t="shared" si="20"/>
      </c>
      <c r="H62" s="220">
        <f t="shared" si="21"/>
      </c>
      <c r="I62" s="220"/>
      <c r="J62" s="220"/>
      <c r="K62" s="237"/>
      <c r="L62" s="237"/>
      <c r="M62" s="237"/>
      <c r="N62" s="220"/>
      <c r="O62" s="220"/>
      <c r="P62" s="237"/>
      <c r="Q62" s="237"/>
      <c r="R62" s="237"/>
      <c r="S62" s="220"/>
      <c r="T62" s="220"/>
      <c r="U62" s="237"/>
      <c r="V62" s="237"/>
      <c r="W62" s="237"/>
      <c r="X62" s="220"/>
      <c r="Y62" s="220"/>
      <c r="Z62" s="237"/>
      <c r="AA62" s="237"/>
      <c r="AB62" s="237"/>
      <c r="AC62" s="237"/>
      <c r="AD62" s="237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</row>
    <row r="63" spans="1:44" s="228" customFormat="1" ht="18" customHeight="1" hidden="1">
      <c r="A63" s="255"/>
      <c r="B63" s="255">
        <v>56</v>
      </c>
      <c r="C63" s="237">
        <f t="shared" si="33"/>
        <v>0</v>
      </c>
      <c r="D63" s="237">
        <f t="shared" si="34"/>
        <v>0</v>
      </c>
      <c r="E63" s="237" t="str">
        <f t="shared" si="35"/>
        <v>Schiffer, Markus</v>
      </c>
      <c r="F63" s="237"/>
      <c r="G63" s="220">
        <f t="shared" si="20"/>
      </c>
      <c r="H63" s="220">
        <f t="shared" si="21"/>
      </c>
      <c r="I63" s="220"/>
      <c r="J63" s="220"/>
      <c r="K63" s="237"/>
      <c r="L63" s="237"/>
      <c r="M63" s="237"/>
      <c r="N63" s="220"/>
      <c r="O63" s="220"/>
      <c r="P63" s="237"/>
      <c r="Q63" s="237"/>
      <c r="R63" s="237"/>
      <c r="S63" s="220"/>
      <c r="T63" s="220"/>
      <c r="U63" s="237"/>
      <c r="V63" s="237"/>
      <c r="W63" s="237"/>
      <c r="X63" s="220"/>
      <c r="Y63" s="220"/>
      <c r="Z63" s="237"/>
      <c r="AA63" s="237"/>
      <c r="AB63" s="237"/>
      <c r="AC63" s="237"/>
      <c r="AD63" s="237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</row>
    <row r="64" spans="1:44" s="228" customFormat="1" ht="18" customHeight="1" hidden="1">
      <c r="A64" s="255"/>
      <c r="B64" s="255">
        <v>57</v>
      </c>
      <c r="C64" s="237">
        <f t="shared" si="33"/>
        <v>0</v>
      </c>
      <c r="D64" s="237">
        <f t="shared" si="34"/>
        <v>0</v>
      </c>
      <c r="E64" s="237" t="str">
        <f t="shared" si="35"/>
        <v>Leppert, Sebastian</v>
      </c>
      <c r="F64" s="237"/>
      <c r="G64" s="220">
        <f t="shared" si="20"/>
      </c>
      <c r="H64" s="220">
        <f t="shared" si="21"/>
      </c>
      <c r="I64" s="220"/>
      <c r="J64" s="220"/>
      <c r="K64" s="237"/>
      <c r="L64" s="237"/>
      <c r="M64" s="237"/>
      <c r="N64" s="220"/>
      <c r="O64" s="220"/>
      <c r="P64" s="237"/>
      <c r="Q64" s="237"/>
      <c r="R64" s="237"/>
      <c r="S64" s="220"/>
      <c r="T64" s="220"/>
      <c r="U64" s="237"/>
      <c r="V64" s="237"/>
      <c r="W64" s="237"/>
      <c r="X64" s="220"/>
      <c r="Y64" s="220"/>
      <c r="Z64" s="237"/>
      <c r="AA64" s="237"/>
      <c r="AB64" s="237"/>
      <c r="AC64" s="237"/>
      <c r="AD64" s="237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</row>
    <row r="65" spans="1:44" s="228" customFormat="1" ht="18" customHeight="1" hidden="1">
      <c r="A65" s="255"/>
      <c r="B65" s="255"/>
      <c r="C65" s="237"/>
      <c r="D65" s="237"/>
      <c r="E65" s="237"/>
      <c r="F65" s="237"/>
      <c r="G65" s="220">
        <f t="shared" si="20"/>
      </c>
      <c r="H65" s="220">
        <f t="shared" si="21"/>
      </c>
      <c r="I65" s="220"/>
      <c r="J65" s="220"/>
      <c r="K65" s="237"/>
      <c r="L65" s="237"/>
      <c r="M65" s="237"/>
      <c r="N65" s="220"/>
      <c r="O65" s="220"/>
      <c r="P65" s="237"/>
      <c r="Q65" s="237"/>
      <c r="R65" s="237"/>
      <c r="S65" s="220"/>
      <c r="T65" s="220"/>
      <c r="U65" s="237"/>
      <c r="V65" s="237"/>
      <c r="W65" s="237"/>
      <c r="X65" s="220"/>
      <c r="Y65" s="220"/>
      <c r="Z65" s="237"/>
      <c r="AA65" s="237"/>
      <c r="AB65" s="237"/>
      <c r="AC65" s="237"/>
      <c r="AD65" s="237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</row>
    <row r="66" spans="1:44" s="228" customFormat="1" ht="18" customHeight="1" hidden="1">
      <c r="A66" s="255"/>
      <c r="B66" s="255">
        <v>58</v>
      </c>
      <c r="C66" s="237">
        <f>X14</f>
        <v>0</v>
      </c>
      <c r="D66" s="237">
        <f>Y14</f>
      </c>
      <c r="E66" s="237">
        <f>Z14</f>
        <v>0</v>
      </c>
      <c r="F66" s="237">
        <f>'Spielereinsatzliste A5'!D29</f>
      </c>
      <c r="G66" s="220">
        <f t="shared" si="20"/>
      </c>
      <c r="H66" s="220">
        <f t="shared" si="21"/>
      </c>
      <c r="I66" s="220"/>
      <c r="J66" s="220"/>
      <c r="K66" s="237"/>
      <c r="L66" s="237"/>
      <c r="M66" s="237"/>
      <c r="N66" s="220"/>
      <c r="O66" s="220"/>
      <c r="P66" s="237"/>
      <c r="Q66" s="237"/>
      <c r="R66" s="237"/>
      <c r="S66" s="220"/>
      <c r="T66" s="220"/>
      <c r="U66" s="237"/>
      <c r="V66" s="237"/>
      <c r="W66" s="237"/>
      <c r="X66" s="220"/>
      <c r="Y66" s="220"/>
      <c r="Z66" s="237"/>
      <c r="AA66" s="237"/>
      <c r="AB66" s="237"/>
      <c r="AC66" s="237"/>
      <c r="AD66" s="237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</row>
    <row r="67" spans="1:44" s="228" customFormat="1" ht="18" customHeight="1" hidden="1">
      <c r="A67" s="255"/>
      <c r="B67" s="255">
        <v>59</v>
      </c>
      <c r="C67" s="237">
        <f aca="true" t="shared" si="36" ref="C67:C77">X15</f>
        <v>0</v>
      </c>
      <c r="D67" s="237">
        <f aca="true" t="shared" si="37" ref="D67:D77">Y15</f>
      </c>
      <c r="E67" s="237">
        <f aca="true" t="shared" si="38" ref="E67:E77">Z15</f>
        <v>0</v>
      </c>
      <c r="F67" s="237">
        <f>'Spielereinsatzliste A5'!D30</f>
      </c>
      <c r="G67" s="220">
        <f t="shared" si="20"/>
      </c>
      <c r="H67" s="220">
        <f t="shared" si="21"/>
      </c>
      <c r="I67" s="220"/>
      <c r="J67" s="220"/>
      <c r="K67" s="237"/>
      <c r="L67" s="237"/>
      <c r="M67" s="237"/>
      <c r="N67" s="220"/>
      <c r="O67" s="220"/>
      <c r="P67" s="237"/>
      <c r="Q67" s="237"/>
      <c r="R67" s="237"/>
      <c r="S67" s="220"/>
      <c r="T67" s="220"/>
      <c r="U67" s="237"/>
      <c r="V67" s="237"/>
      <c r="W67" s="237"/>
      <c r="X67" s="220"/>
      <c r="Y67" s="220"/>
      <c r="Z67" s="237"/>
      <c r="AA67" s="237"/>
      <c r="AB67" s="237"/>
      <c r="AC67" s="237"/>
      <c r="AD67" s="237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</row>
    <row r="68" spans="1:44" s="228" customFormat="1" ht="18" customHeight="1" hidden="1">
      <c r="A68" s="255"/>
      <c r="B68" s="255">
        <v>60</v>
      </c>
      <c r="C68" s="237">
        <f t="shared" si="36"/>
        <v>0</v>
      </c>
      <c r="D68" s="237">
        <f t="shared" si="37"/>
        <v>0</v>
      </c>
      <c r="E68" s="237">
        <f t="shared" si="38"/>
        <v>0</v>
      </c>
      <c r="F68" s="237">
        <f>'Spielereinsatzliste A5'!D31</f>
      </c>
      <c r="G68" s="220">
        <f t="shared" si="20"/>
      </c>
      <c r="H68" s="220">
        <f t="shared" si="21"/>
      </c>
      <c r="I68" s="220"/>
      <c r="J68" s="220"/>
      <c r="K68" s="237"/>
      <c r="L68" s="237"/>
      <c r="M68" s="237"/>
      <c r="N68" s="220"/>
      <c r="O68" s="220"/>
      <c r="P68" s="237"/>
      <c r="Q68" s="237"/>
      <c r="R68" s="237"/>
      <c r="S68" s="220"/>
      <c r="T68" s="220"/>
      <c r="U68" s="237"/>
      <c r="V68" s="237"/>
      <c r="W68" s="237"/>
      <c r="X68" s="220"/>
      <c r="Y68" s="220"/>
      <c r="Z68" s="237"/>
      <c r="AA68" s="237"/>
      <c r="AB68" s="237"/>
      <c r="AC68" s="237"/>
      <c r="AD68" s="237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</row>
    <row r="69" spans="1:44" s="228" customFormat="1" ht="18" customHeight="1" hidden="1">
      <c r="A69" s="255"/>
      <c r="B69" s="255">
        <v>61</v>
      </c>
      <c r="C69" s="237">
        <f t="shared" si="36"/>
        <v>0</v>
      </c>
      <c r="D69" s="237">
        <f t="shared" si="37"/>
      </c>
      <c r="E69" s="237">
        <f t="shared" si="38"/>
        <v>0</v>
      </c>
      <c r="F69" s="237">
        <f>'Spielereinsatzliste A5'!D32</f>
      </c>
      <c r="G69" s="220">
        <f t="shared" si="20"/>
      </c>
      <c r="H69" s="220">
        <f t="shared" si="21"/>
      </c>
      <c r="I69" s="220"/>
      <c r="J69" s="220"/>
      <c r="K69" s="237"/>
      <c r="L69" s="237"/>
      <c r="M69" s="237"/>
      <c r="N69" s="220"/>
      <c r="O69" s="220"/>
      <c r="P69" s="237"/>
      <c r="Q69" s="237"/>
      <c r="R69" s="237"/>
      <c r="S69" s="220"/>
      <c r="T69" s="220"/>
      <c r="U69" s="237"/>
      <c r="V69" s="237"/>
      <c r="W69" s="237"/>
      <c r="X69" s="220"/>
      <c r="Y69" s="220"/>
      <c r="Z69" s="237"/>
      <c r="AA69" s="237"/>
      <c r="AB69" s="237"/>
      <c r="AC69" s="237"/>
      <c r="AD69" s="237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</row>
    <row r="70" spans="1:44" s="228" customFormat="1" ht="18" customHeight="1" hidden="1">
      <c r="A70" s="255"/>
      <c r="B70" s="255">
        <v>62</v>
      </c>
      <c r="C70" s="237">
        <f t="shared" si="36"/>
        <v>0</v>
      </c>
      <c r="D70" s="237">
        <f t="shared" si="37"/>
      </c>
      <c r="E70" s="237">
        <f t="shared" si="38"/>
        <v>0</v>
      </c>
      <c r="F70" s="237">
        <f>'Spielereinsatzliste A5'!D33</f>
      </c>
      <c r="G70" s="220">
        <f t="shared" si="20"/>
      </c>
      <c r="H70" s="220">
        <f t="shared" si="21"/>
      </c>
      <c r="I70" s="220"/>
      <c r="J70" s="220"/>
      <c r="K70" s="237"/>
      <c r="L70" s="237"/>
      <c r="M70" s="237"/>
      <c r="N70" s="220"/>
      <c r="O70" s="220"/>
      <c r="P70" s="237"/>
      <c r="Q70" s="237"/>
      <c r="R70" s="237"/>
      <c r="S70" s="220"/>
      <c r="T70" s="220"/>
      <c r="U70" s="237"/>
      <c r="V70" s="237"/>
      <c r="W70" s="237"/>
      <c r="X70" s="220"/>
      <c r="Y70" s="220"/>
      <c r="Z70" s="237"/>
      <c r="AA70" s="237"/>
      <c r="AB70" s="237"/>
      <c r="AC70" s="237"/>
      <c r="AD70" s="237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</row>
    <row r="71" spans="1:44" s="228" customFormat="1" ht="18" customHeight="1" hidden="1">
      <c r="A71" s="255"/>
      <c r="B71" s="255">
        <v>63</v>
      </c>
      <c r="C71" s="237">
        <f t="shared" si="36"/>
        <v>0</v>
      </c>
      <c r="D71" s="237">
        <f t="shared" si="37"/>
      </c>
      <c r="E71" s="237">
        <f t="shared" si="38"/>
        <v>0</v>
      </c>
      <c r="F71" s="237">
        <f>'Spielereinsatzliste A5'!D34</f>
      </c>
      <c r="G71" s="220">
        <f t="shared" si="20"/>
      </c>
      <c r="H71" s="220">
        <f t="shared" si="21"/>
      </c>
      <c r="I71" s="220"/>
      <c r="J71" s="220"/>
      <c r="K71" s="237"/>
      <c r="L71" s="237"/>
      <c r="M71" s="237"/>
      <c r="N71" s="220"/>
      <c r="O71" s="220"/>
      <c r="P71" s="237"/>
      <c r="Q71" s="237"/>
      <c r="R71" s="237"/>
      <c r="S71" s="220"/>
      <c r="T71" s="220"/>
      <c r="U71" s="237"/>
      <c r="V71" s="237"/>
      <c r="W71" s="237"/>
      <c r="X71" s="220"/>
      <c r="Y71" s="220"/>
      <c r="Z71" s="237"/>
      <c r="AA71" s="237"/>
      <c r="AB71" s="237"/>
      <c r="AC71" s="237"/>
      <c r="AD71" s="237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</row>
    <row r="72" spans="1:44" s="228" customFormat="1" ht="18" customHeight="1" hidden="1">
      <c r="A72" s="255"/>
      <c r="B72" s="255">
        <v>64</v>
      </c>
      <c r="C72" s="237">
        <f t="shared" si="36"/>
      </c>
      <c r="D72" s="237">
        <f t="shared" si="37"/>
        <v>0</v>
      </c>
      <c r="E72" s="237">
        <f t="shared" si="38"/>
        <v>0</v>
      </c>
      <c r="F72" s="237">
        <f>'Spielereinsatzliste A5'!D35</f>
      </c>
      <c r="G72" s="220">
        <f t="shared" si="20"/>
      </c>
      <c r="H72" s="220">
        <f t="shared" si="21"/>
      </c>
      <c r="I72" s="220"/>
      <c r="J72" s="220"/>
      <c r="K72" s="237"/>
      <c r="L72" s="237"/>
      <c r="M72" s="237"/>
      <c r="N72" s="220"/>
      <c r="O72" s="220"/>
      <c r="P72" s="237"/>
      <c r="Q72" s="237"/>
      <c r="R72" s="237"/>
      <c r="S72" s="220"/>
      <c r="T72" s="220"/>
      <c r="U72" s="237"/>
      <c r="V72" s="237"/>
      <c r="W72" s="237"/>
      <c r="X72" s="220"/>
      <c r="Y72" s="220"/>
      <c r="Z72" s="237"/>
      <c r="AA72" s="237"/>
      <c r="AB72" s="237"/>
      <c r="AC72" s="237"/>
      <c r="AD72" s="237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</row>
    <row r="73" spans="1:44" s="228" customFormat="1" ht="18" customHeight="1" hidden="1">
      <c r="A73" s="255"/>
      <c r="B73" s="255">
        <v>65</v>
      </c>
      <c r="C73" s="237">
        <f t="shared" si="36"/>
      </c>
      <c r="D73" s="237">
        <f t="shared" si="37"/>
      </c>
      <c r="E73" s="237">
        <f t="shared" si="38"/>
        <v>0</v>
      </c>
      <c r="F73" s="237">
        <f>'Spielereinsatzliste A5'!D36</f>
      </c>
      <c r="G73" s="220">
        <f t="shared" si="20"/>
      </c>
      <c r="H73" s="220">
        <f t="shared" si="21"/>
      </c>
      <c r="I73" s="220"/>
      <c r="J73" s="220"/>
      <c r="K73" s="237"/>
      <c r="L73" s="237"/>
      <c r="M73" s="237"/>
      <c r="N73" s="220"/>
      <c r="O73" s="220"/>
      <c r="P73" s="237"/>
      <c r="Q73" s="237"/>
      <c r="R73" s="237"/>
      <c r="S73" s="220"/>
      <c r="T73" s="220"/>
      <c r="U73" s="237"/>
      <c r="V73" s="237"/>
      <c r="W73" s="237"/>
      <c r="X73" s="220"/>
      <c r="Y73" s="220"/>
      <c r="Z73" s="237"/>
      <c r="AA73" s="237"/>
      <c r="AB73" s="237"/>
      <c r="AC73" s="237"/>
      <c r="AD73" s="237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</row>
    <row r="74" spans="1:44" s="228" customFormat="1" ht="18" customHeight="1" hidden="1">
      <c r="A74" s="255"/>
      <c r="B74" s="255">
        <v>66</v>
      </c>
      <c r="C74" s="237">
        <f t="shared" si="36"/>
      </c>
      <c r="D74" s="237">
        <f t="shared" si="37"/>
      </c>
      <c r="E74" s="237">
        <f t="shared" si="38"/>
        <v>0</v>
      </c>
      <c r="F74" s="237">
        <f>'Spielereinsatzliste A5'!D37</f>
      </c>
      <c r="G74" s="220">
        <f t="shared" si="20"/>
      </c>
      <c r="H74" s="220">
        <f t="shared" si="21"/>
      </c>
      <c r="I74" s="220"/>
      <c r="J74" s="220"/>
      <c r="K74" s="237"/>
      <c r="L74" s="237"/>
      <c r="M74" s="237"/>
      <c r="N74" s="220"/>
      <c r="O74" s="220"/>
      <c r="P74" s="237"/>
      <c r="Q74" s="237"/>
      <c r="R74" s="237"/>
      <c r="S74" s="220"/>
      <c r="T74" s="220"/>
      <c r="U74" s="237"/>
      <c r="V74" s="237"/>
      <c r="W74" s="237"/>
      <c r="X74" s="220"/>
      <c r="Y74" s="220"/>
      <c r="Z74" s="237"/>
      <c r="AA74" s="237"/>
      <c r="AB74" s="237"/>
      <c r="AC74" s="237"/>
      <c r="AD74" s="237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</row>
    <row r="75" spans="1:44" s="228" customFormat="1" ht="18" customHeight="1" hidden="1">
      <c r="A75" s="255"/>
      <c r="B75" s="255">
        <v>67</v>
      </c>
      <c r="C75" s="237">
        <f t="shared" si="36"/>
      </c>
      <c r="D75" s="237">
        <f t="shared" si="37"/>
      </c>
      <c r="E75" s="237">
        <f t="shared" si="38"/>
        <v>0</v>
      </c>
      <c r="F75" s="237">
        <f>'Spielereinsatzliste A5'!D38</f>
      </c>
      <c r="G75" s="220">
        <f t="shared" si="20"/>
      </c>
      <c r="H75" s="220">
        <f t="shared" si="21"/>
      </c>
      <c r="I75" s="220"/>
      <c r="J75" s="220"/>
      <c r="K75" s="237"/>
      <c r="L75" s="237"/>
      <c r="M75" s="237"/>
      <c r="N75" s="220"/>
      <c r="O75" s="220"/>
      <c r="P75" s="237"/>
      <c r="Q75" s="237"/>
      <c r="R75" s="237"/>
      <c r="S75" s="220"/>
      <c r="T75" s="220"/>
      <c r="U75" s="237"/>
      <c r="V75" s="237"/>
      <c r="W75" s="237"/>
      <c r="X75" s="220"/>
      <c r="Y75" s="220"/>
      <c r="Z75" s="237"/>
      <c r="AA75" s="237"/>
      <c r="AB75" s="237"/>
      <c r="AC75" s="237"/>
      <c r="AD75" s="237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</row>
    <row r="76" spans="1:44" s="228" customFormat="1" ht="18" customHeight="1" hidden="1">
      <c r="A76" s="255"/>
      <c r="B76" s="255">
        <v>68</v>
      </c>
      <c r="C76" s="237">
        <f t="shared" si="36"/>
        <v>0</v>
      </c>
      <c r="D76" s="237">
        <f t="shared" si="37"/>
        <v>0</v>
      </c>
      <c r="E76" s="237">
        <f t="shared" si="38"/>
        <v>0</v>
      </c>
      <c r="F76" s="237"/>
      <c r="G76" s="220">
        <f t="shared" si="20"/>
      </c>
      <c r="H76" s="220">
        <f t="shared" si="21"/>
      </c>
      <c r="I76" s="220"/>
      <c r="J76" s="220"/>
      <c r="K76" s="237"/>
      <c r="L76" s="237"/>
      <c r="M76" s="237"/>
      <c r="N76" s="220"/>
      <c r="O76" s="220"/>
      <c r="P76" s="237"/>
      <c r="Q76" s="237"/>
      <c r="R76" s="237"/>
      <c r="S76" s="220"/>
      <c r="T76" s="220"/>
      <c r="U76" s="237"/>
      <c r="V76" s="237"/>
      <c r="W76" s="237"/>
      <c r="X76" s="220"/>
      <c r="Y76" s="220"/>
      <c r="Z76" s="237"/>
      <c r="AA76" s="237"/>
      <c r="AB76" s="237"/>
      <c r="AC76" s="237"/>
      <c r="AD76" s="237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</row>
    <row r="77" spans="1:44" s="228" customFormat="1" ht="18" customHeight="1" hidden="1">
      <c r="A77" s="255"/>
      <c r="B77" s="255">
        <v>69</v>
      </c>
      <c r="C77" s="237">
        <f t="shared" si="36"/>
        <v>0</v>
      </c>
      <c r="D77" s="237">
        <f t="shared" si="37"/>
        <v>0</v>
      </c>
      <c r="E77" s="237">
        <f t="shared" si="38"/>
        <v>0</v>
      </c>
      <c r="F77" s="237"/>
      <c r="G77" s="220">
        <f t="shared" si="20"/>
      </c>
      <c r="H77" s="220">
        <f t="shared" si="21"/>
      </c>
      <c r="I77" s="220"/>
      <c r="J77" s="220"/>
      <c r="K77" s="237"/>
      <c r="L77" s="237"/>
      <c r="M77" s="237"/>
      <c r="N77" s="220"/>
      <c r="O77" s="220"/>
      <c r="P77" s="237"/>
      <c r="Q77" s="237"/>
      <c r="R77" s="237"/>
      <c r="S77" s="220"/>
      <c r="T77" s="220"/>
      <c r="U77" s="237"/>
      <c r="V77" s="237"/>
      <c r="W77" s="237"/>
      <c r="X77" s="220"/>
      <c r="Y77" s="220"/>
      <c r="Z77" s="237"/>
      <c r="AA77" s="237"/>
      <c r="AB77" s="237"/>
      <c r="AC77" s="237"/>
      <c r="AD77" s="237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</row>
    <row r="78" spans="1:44" s="228" customFormat="1" ht="18" customHeight="1" hidden="1">
      <c r="A78" s="255"/>
      <c r="B78" s="255"/>
      <c r="C78" s="237"/>
      <c r="D78" s="237"/>
      <c r="E78" s="237"/>
      <c r="F78" s="237"/>
      <c r="G78" s="220">
        <f t="shared" si="20"/>
      </c>
      <c r="H78" s="220">
        <f t="shared" si="21"/>
      </c>
      <c r="I78" s="220"/>
      <c r="J78" s="220"/>
      <c r="K78" s="237"/>
      <c r="L78" s="237"/>
      <c r="M78" s="237"/>
      <c r="N78" s="220"/>
      <c r="O78" s="220"/>
      <c r="P78" s="237"/>
      <c r="Q78" s="237"/>
      <c r="R78" s="237"/>
      <c r="S78" s="220"/>
      <c r="T78" s="220"/>
      <c r="U78" s="237"/>
      <c r="V78" s="237"/>
      <c r="W78" s="237"/>
      <c r="X78" s="220"/>
      <c r="Y78" s="220"/>
      <c r="Z78" s="237"/>
      <c r="AA78" s="237"/>
      <c r="AB78" s="237"/>
      <c r="AC78" s="237"/>
      <c r="AD78" s="237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</row>
    <row r="79" spans="1:44" s="228" customFormat="1" ht="18" customHeight="1" hidden="1">
      <c r="A79" s="255"/>
      <c r="B79" s="255">
        <v>70</v>
      </c>
      <c r="C79" s="237">
        <f aca="true" t="shared" si="39" ref="C79:E90">C148</f>
      </c>
      <c r="D79" s="237">
        <f t="shared" si="39"/>
        <v>0</v>
      </c>
      <c r="E79" s="237">
        <f t="shared" si="39"/>
        <v>0</v>
      </c>
      <c r="F79" s="237">
        <f>'Spielereinsatzliste B1'!D29</f>
      </c>
      <c r="G79" s="220">
        <f aca="true" t="shared" si="40" ref="G79:G140">IF(F79="","",RANK(F79,F$14:F$140,0))</f>
      </c>
      <c r="H79" s="220">
        <f aca="true" t="shared" si="41" ref="H79:H140">IF(F79="","",RANK(F79,F$14:F$140,1))</f>
      </c>
      <c r="I79" s="220"/>
      <c r="J79" s="220"/>
      <c r="K79" s="237"/>
      <c r="L79" s="237"/>
      <c r="M79" s="237"/>
      <c r="N79" s="220"/>
      <c r="O79" s="220"/>
      <c r="P79" s="237"/>
      <c r="Q79" s="237"/>
      <c r="R79" s="237"/>
      <c r="S79" s="220"/>
      <c r="T79" s="220"/>
      <c r="U79" s="237"/>
      <c r="V79" s="237"/>
      <c r="W79" s="237"/>
      <c r="X79" s="220"/>
      <c r="Y79" s="220"/>
      <c r="Z79" s="237"/>
      <c r="AA79" s="237"/>
      <c r="AB79" s="237"/>
      <c r="AC79" s="237"/>
      <c r="AD79" s="237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</row>
    <row r="80" spans="1:44" s="228" customFormat="1" ht="18" customHeight="1" hidden="1">
      <c r="A80" s="255"/>
      <c r="B80" s="255">
        <v>71</v>
      </c>
      <c r="C80" s="237">
        <f t="shared" si="39"/>
      </c>
      <c r="D80" s="237">
        <f t="shared" si="39"/>
      </c>
      <c r="E80" s="237">
        <f aca="true" t="shared" si="42" ref="E80:E88">E149</f>
        <v>0</v>
      </c>
      <c r="F80" s="237">
        <f>'Spielereinsatzliste B1'!D30</f>
      </c>
      <c r="G80" s="220">
        <f t="shared" si="40"/>
      </c>
      <c r="H80" s="220">
        <f t="shared" si="41"/>
      </c>
      <c r="I80" s="220"/>
      <c r="J80" s="220"/>
      <c r="K80" s="237"/>
      <c r="L80" s="237"/>
      <c r="M80" s="237"/>
      <c r="N80" s="220"/>
      <c r="O80" s="220"/>
      <c r="P80" s="237"/>
      <c r="Q80" s="237"/>
      <c r="R80" s="237"/>
      <c r="S80" s="220"/>
      <c r="T80" s="220"/>
      <c r="U80" s="237"/>
      <c r="V80" s="237"/>
      <c r="W80" s="237"/>
      <c r="X80" s="220"/>
      <c r="Y80" s="220"/>
      <c r="Z80" s="237"/>
      <c r="AA80" s="237"/>
      <c r="AB80" s="237"/>
      <c r="AC80" s="237"/>
      <c r="AD80" s="237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</row>
    <row r="81" spans="1:44" s="228" customFormat="1" ht="18" customHeight="1" hidden="1">
      <c r="A81" s="255"/>
      <c r="B81" s="255">
        <v>72</v>
      </c>
      <c r="C81" s="237">
        <f t="shared" si="39"/>
      </c>
      <c r="D81" s="237">
        <f t="shared" si="39"/>
      </c>
      <c r="E81" s="237">
        <f t="shared" si="42"/>
        <v>0</v>
      </c>
      <c r="F81" s="237">
        <f>'Spielereinsatzliste B1'!D31</f>
      </c>
      <c r="G81" s="220">
        <f t="shared" si="40"/>
      </c>
      <c r="H81" s="220">
        <f t="shared" si="41"/>
      </c>
      <c r="I81" s="220"/>
      <c r="J81" s="220"/>
      <c r="K81" s="237"/>
      <c r="L81" s="237"/>
      <c r="M81" s="237"/>
      <c r="N81" s="220"/>
      <c r="O81" s="220"/>
      <c r="P81" s="237"/>
      <c r="Q81" s="237"/>
      <c r="R81" s="237"/>
      <c r="S81" s="220"/>
      <c r="T81" s="220"/>
      <c r="U81" s="237"/>
      <c r="V81" s="237"/>
      <c r="W81" s="237"/>
      <c r="X81" s="220"/>
      <c r="Y81" s="220"/>
      <c r="Z81" s="237"/>
      <c r="AA81" s="237"/>
      <c r="AB81" s="237"/>
      <c r="AC81" s="237"/>
      <c r="AD81" s="237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</row>
    <row r="82" spans="1:44" s="228" customFormat="1" ht="18" customHeight="1" hidden="1">
      <c r="A82" s="255"/>
      <c r="B82" s="255">
        <v>73</v>
      </c>
      <c r="C82" s="237">
        <f t="shared" si="39"/>
      </c>
      <c r="D82" s="237">
        <f t="shared" si="39"/>
      </c>
      <c r="E82" s="237">
        <f t="shared" si="42"/>
        <v>0</v>
      </c>
      <c r="F82" s="237">
        <f>'Spielereinsatzliste B1'!D32</f>
      </c>
      <c r="G82" s="220">
        <f t="shared" si="40"/>
      </c>
      <c r="H82" s="220">
        <f t="shared" si="41"/>
      </c>
      <c r="I82" s="220"/>
      <c r="J82" s="220"/>
      <c r="K82" s="237"/>
      <c r="L82" s="237"/>
      <c r="M82" s="237"/>
      <c r="N82" s="220"/>
      <c r="O82" s="220"/>
      <c r="P82" s="237"/>
      <c r="Q82" s="237"/>
      <c r="R82" s="237"/>
      <c r="S82" s="220"/>
      <c r="T82" s="220"/>
      <c r="U82" s="237"/>
      <c r="V82" s="237"/>
      <c r="W82" s="237"/>
      <c r="X82" s="220"/>
      <c r="Y82" s="220"/>
      <c r="Z82" s="237"/>
      <c r="AA82" s="237"/>
      <c r="AB82" s="237"/>
      <c r="AC82" s="237"/>
      <c r="AD82" s="237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</row>
    <row r="83" spans="1:44" s="228" customFormat="1" ht="18" customHeight="1" hidden="1">
      <c r="A83" s="255"/>
      <c r="B83" s="255">
        <v>74</v>
      </c>
      <c r="C83" s="237">
        <f t="shared" si="39"/>
      </c>
      <c r="D83" s="237">
        <f t="shared" si="39"/>
        <v>0</v>
      </c>
      <c r="E83" s="237">
        <f t="shared" si="42"/>
        <v>0</v>
      </c>
      <c r="F83" s="237">
        <f>'Spielereinsatzliste B1'!D33</f>
      </c>
      <c r="G83" s="220">
        <f t="shared" si="40"/>
      </c>
      <c r="H83" s="220">
        <f t="shared" si="41"/>
      </c>
      <c r="I83" s="220"/>
      <c r="J83" s="220"/>
      <c r="K83" s="237"/>
      <c r="L83" s="237"/>
      <c r="M83" s="237"/>
      <c r="N83" s="220"/>
      <c r="O83" s="220"/>
      <c r="P83" s="237"/>
      <c r="Q83" s="237"/>
      <c r="R83" s="237"/>
      <c r="S83" s="220"/>
      <c r="T83" s="220"/>
      <c r="U83" s="237"/>
      <c r="V83" s="237"/>
      <c r="W83" s="237"/>
      <c r="X83" s="220"/>
      <c r="Y83" s="220"/>
      <c r="Z83" s="237"/>
      <c r="AA83" s="237"/>
      <c r="AB83" s="237"/>
      <c r="AC83" s="237"/>
      <c r="AD83" s="237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</row>
    <row r="84" spans="1:44" s="228" customFormat="1" ht="18" customHeight="1" hidden="1">
      <c r="A84" s="255"/>
      <c r="B84" s="255">
        <v>75</v>
      </c>
      <c r="C84" s="237">
        <f t="shared" si="39"/>
      </c>
      <c r="D84" s="237">
        <f t="shared" si="39"/>
      </c>
      <c r="E84" s="237">
        <f t="shared" si="42"/>
        <v>0</v>
      </c>
      <c r="F84" s="237">
        <f>'Spielereinsatzliste B1'!D34</f>
      </c>
      <c r="G84" s="220">
        <f t="shared" si="40"/>
      </c>
      <c r="H84" s="220">
        <f t="shared" si="41"/>
      </c>
      <c r="I84" s="220"/>
      <c r="J84" s="220"/>
      <c r="K84" s="237"/>
      <c r="L84" s="237"/>
      <c r="M84" s="237"/>
      <c r="N84" s="220"/>
      <c r="O84" s="220"/>
      <c r="P84" s="237"/>
      <c r="Q84" s="237"/>
      <c r="R84" s="237"/>
      <c r="S84" s="220"/>
      <c r="T84" s="220"/>
      <c r="U84" s="237"/>
      <c r="V84" s="237"/>
      <c r="W84" s="237"/>
      <c r="X84" s="220"/>
      <c r="Y84" s="220"/>
      <c r="Z84" s="237"/>
      <c r="AA84" s="237"/>
      <c r="AB84" s="237"/>
      <c r="AC84" s="237"/>
      <c r="AD84" s="237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</row>
    <row r="85" spans="1:44" s="228" customFormat="1" ht="18" customHeight="1" hidden="1">
      <c r="A85" s="255"/>
      <c r="B85" s="255">
        <v>76</v>
      </c>
      <c r="C85" s="237">
        <f t="shared" si="39"/>
      </c>
      <c r="D85" s="237">
        <f t="shared" si="39"/>
      </c>
      <c r="E85" s="237">
        <f t="shared" si="42"/>
        <v>0</v>
      </c>
      <c r="F85" s="237">
        <f>'Spielereinsatzliste B1'!D35</f>
      </c>
      <c r="G85" s="220">
        <f t="shared" si="40"/>
      </c>
      <c r="H85" s="220">
        <f t="shared" si="41"/>
      </c>
      <c r="I85" s="220"/>
      <c r="J85" s="220"/>
      <c r="K85" s="237"/>
      <c r="L85" s="237"/>
      <c r="M85" s="237"/>
      <c r="N85" s="220"/>
      <c r="O85" s="220"/>
      <c r="P85" s="237"/>
      <c r="Q85" s="237"/>
      <c r="R85" s="237"/>
      <c r="S85" s="220"/>
      <c r="T85" s="220"/>
      <c r="U85" s="237"/>
      <c r="V85" s="237"/>
      <c r="W85" s="237"/>
      <c r="X85" s="220"/>
      <c r="Y85" s="220"/>
      <c r="Z85" s="237"/>
      <c r="AA85" s="237"/>
      <c r="AB85" s="237"/>
      <c r="AC85" s="237"/>
      <c r="AD85" s="237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</row>
    <row r="86" spans="1:44" s="228" customFormat="1" ht="18" customHeight="1" hidden="1">
      <c r="A86" s="255"/>
      <c r="B86" s="255">
        <v>77</v>
      </c>
      <c r="C86" s="237">
        <f t="shared" si="39"/>
      </c>
      <c r="D86" s="237">
        <f t="shared" si="39"/>
      </c>
      <c r="E86" s="237">
        <f t="shared" si="42"/>
        <v>0</v>
      </c>
      <c r="F86" s="237">
        <f>'Spielereinsatzliste B1'!D36</f>
      </c>
      <c r="G86" s="220">
        <f t="shared" si="40"/>
      </c>
      <c r="H86" s="220">
        <f t="shared" si="41"/>
      </c>
      <c r="I86" s="220"/>
      <c r="J86" s="220"/>
      <c r="K86" s="237"/>
      <c r="L86" s="237"/>
      <c r="M86" s="237"/>
      <c r="N86" s="220"/>
      <c r="O86" s="220"/>
      <c r="P86" s="237"/>
      <c r="Q86" s="237"/>
      <c r="R86" s="237"/>
      <c r="S86" s="220"/>
      <c r="T86" s="220"/>
      <c r="U86" s="237"/>
      <c r="V86" s="237"/>
      <c r="W86" s="237"/>
      <c r="X86" s="220"/>
      <c r="Y86" s="220"/>
      <c r="Z86" s="237"/>
      <c r="AA86" s="237"/>
      <c r="AB86" s="237"/>
      <c r="AC86" s="237"/>
      <c r="AD86" s="237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</row>
    <row r="87" spans="1:44" s="228" customFormat="1" ht="18" customHeight="1" hidden="1">
      <c r="A87" s="255"/>
      <c r="B87" s="255">
        <v>78</v>
      </c>
      <c r="C87" s="237">
        <f t="shared" si="39"/>
      </c>
      <c r="D87" s="237">
        <f t="shared" si="39"/>
      </c>
      <c r="E87" s="237">
        <f t="shared" si="42"/>
        <v>0</v>
      </c>
      <c r="F87" s="237">
        <f>'Spielereinsatzliste B1'!D37</f>
      </c>
      <c r="G87" s="220">
        <f t="shared" si="40"/>
      </c>
      <c r="H87" s="220">
        <f t="shared" si="41"/>
      </c>
      <c r="I87" s="220"/>
      <c r="J87" s="220"/>
      <c r="K87" s="237"/>
      <c r="L87" s="237"/>
      <c r="M87" s="237"/>
      <c r="N87" s="220"/>
      <c r="O87" s="220"/>
      <c r="P87" s="237"/>
      <c r="Q87" s="237"/>
      <c r="R87" s="237"/>
      <c r="S87" s="220"/>
      <c r="T87" s="220"/>
      <c r="U87" s="237"/>
      <c r="V87" s="237"/>
      <c r="W87" s="237"/>
      <c r="X87" s="220"/>
      <c r="Y87" s="220"/>
      <c r="Z87" s="237"/>
      <c r="AA87" s="237"/>
      <c r="AB87" s="237"/>
      <c r="AC87" s="237"/>
      <c r="AD87" s="237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</row>
    <row r="88" spans="1:44" s="228" customFormat="1" ht="18" customHeight="1" hidden="1">
      <c r="A88" s="255"/>
      <c r="B88" s="255">
        <v>79</v>
      </c>
      <c r="C88" s="237">
        <f t="shared" si="39"/>
      </c>
      <c r="D88" s="237">
        <f t="shared" si="39"/>
      </c>
      <c r="E88" s="237">
        <f t="shared" si="42"/>
        <v>0</v>
      </c>
      <c r="F88" s="237">
        <f>'Spielereinsatzliste B1'!D38</f>
      </c>
      <c r="G88" s="220">
        <f t="shared" si="40"/>
      </c>
      <c r="H88" s="220">
        <f t="shared" si="41"/>
      </c>
      <c r="I88" s="220"/>
      <c r="J88" s="220"/>
      <c r="K88" s="237"/>
      <c r="L88" s="237"/>
      <c r="M88" s="237"/>
      <c r="N88" s="220"/>
      <c r="O88" s="220"/>
      <c r="P88" s="237"/>
      <c r="Q88" s="237"/>
      <c r="R88" s="237"/>
      <c r="S88" s="220"/>
      <c r="T88" s="220"/>
      <c r="U88" s="237"/>
      <c r="V88" s="237"/>
      <c r="W88" s="237"/>
      <c r="X88" s="220"/>
      <c r="Y88" s="220"/>
      <c r="Z88" s="237"/>
      <c r="AA88" s="237"/>
      <c r="AB88" s="237"/>
      <c r="AC88" s="237"/>
      <c r="AD88" s="237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</row>
    <row r="89" spans="1:44" s="228" customFormat="1" ht="18" customHeight="1" hidden="1">
      <c r="A89" s="255"/>
      <c r="B89" s="255">
        <v>80</v>
      </c>
      <c r="C89" s="237">
        <f t="shared" si="39"/>
        <v>0</v>
      </c>
      <c r="D89" s="237">
        <f t="shared" si="39"/>
        <v>0</v>
      </c>
      <c r="E89" s="237">
        <f t="shared" si="39"/>
        <v>0</v>
      </c>
      <c r="F89" s="237"/>
      <c r="G89" s="220">
        <f t="shared" si="40"/>
      </c>
      <c r="H89" s="220">
        <f t="shared" si="41"/>
      </c>
      <c r="I89" s="220"/>
      <c r="J89" s="220"/>
      <c r="K89" s="237"/>
      <c r="L89" s="237"/>
      <c r="M89" s="237"/>
      <c r="N89" s="220"/>
      <c r="O89" s="220"/>
      <c r="P89" s="237"/>
      <c r="Q89" s="237"/>
      <c r="R89" s="237"/>
      <c r="S89" s="220"/>
      <c r="T89" s="220"/>
      <c r="U89" s="237"/>
      <c r="V89" s="237"/>
      <c r="W89" s="237"/>
      <c r="X89" s="220"/>
      <c r="Y89" s="220"/>
      <c r="Z89" s="237"/>
      <c r="AA89" s="237"/>
      <c r="AB89" s="237"/>
      <c r="AC89" s="237"/>
      <c r="AD89" s="237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</row>
    <row r="90" spans="1:44" s="228" customFormat="1" ht="18" customHeight="1" hidden="1">
      <c r="A90" s="255"/>
      <c r="B90" s="255">
        <v>81</v>
      </c>
      <c r="C90" s="237">
        <f t="shared" si="39"/>
        <v>0</v>
      </c>
      <c r="D90" s="237">
        <f t="shared" si="39"/>
        <v>0</v>
      </c>
      <c r="E90" s="237">
        <f t="shared" si="39"/>
        <v>0</v>
      </c>
      <c r="F90" s="237"/>
      <c r="G90" s="220">
        <f t="shared" si="40"/>
      </c>
      <c r="H90" s="220">
        <f t="shared" si="41"/>
      </c>
      <c r="I90" s="220"/>
      <c r="J90" s="220"/>
      <c r="K90" s="237"/>
      <c r="L90" s="237"/>
      <c r="M90" s="237"/>
      <c r="N90" s="220"/>
      <c r="O90" s="220"/>
      <c r="P90" s="237"/>
      <c r="Q90" s="237"/>
      <c r="R90" s="237"/>
      <c r="S90" s="220"/>
      <c r="T90" s="220"/>
      <c r="U90" s="237"/>
      <c r="V90" s="237"/>
      <c r="W90" s="237"/>
      <c r="X90" s="220"/>
      <c r="Y90" s="220"/>
      <c r="Z90" s="237"/>
      <c r="AA90" s="237"/>
      <c r="AB90" s="237"/>
      <c r="AC90" s="237"/>
      <c r="AD90" s="237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</row>
    <row r="91" spans="1:44" s="228" customFormat="1" ht="18" customHeight="1" hidden="1">
      <c r="A91" s="255"/>
      <c r="B91" s="255"/>
      <c r="C91" s="237"/>
      <c r="D91" s="237"/>
      <c r="E91" s="237"/>
      <c r="F91" s="237"/>
      <c r="G91" s="220">
        <f t="shared" si="40"/>
      </c>
      <c r="H91" s="220">
        <f t="shared" si="41"/>
      </c>
      <c r="I91" s="220"/>
      <c r="J91" s="220"/>
      <c r="K91" s="237"/>
      <c r="L91" s="237"/>
      <c r="M91" s="237"/>
      <c r="N91" s="220"/>
      <c r="O91" s="220"/>
      <c r="P91" s="237"/>
      <c r="Q91" s="237"/>
      <c r="R91" s="237"/>
      <c r="S91" s="220"/>
      <c r="T91" s="220"/>
      <c r="U91" s="237"/>
      <c r="V91" s="237"/>
      <c r="W91" s="237"/>
      <c r="X91" s="220"/>
      <c r="Y91" s="220"/>
      <c r="Z91" s="237"/>
      <c r="AA91" s="237"/>
      <c r="AB91" s="237"/>
      <c r="AC91" s="237"/>
      <c r="AD91" s="237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</row>
    <row r="92" spans="1:44" s="228" customFormat="1" ht="18" customHeight="1" hidden="1">
      <c r="A92" s="255"/>
      <c r="B92" s="255">
        <v>82</v>
      </c>
      <c r="C92" s="237">
        <f>I148</f>
      </c>
      <c r="D92" s="237">
        <f>J148</f>
        <v>0</v>
      </c>
      <c r="E92" s="237">
        <f>K148</f>
        <v>0</v>
      </c>
      <c r="F92" s="237">
        <f>'Spielereinsatzliste B2'!D29</f>
      </c>
      <c r="G92" s="220">
        <f t="shared" si="40"/>
      </c>
      <c r="H92" s="220">
        <f t="shared" si="41"/>
      </c>
      <c r="I92" s="220"/>
      <c r="J92" s="220"/>
      <c r="K92" s="237"/>
      <c r="L92" s="237"/>
      <c r="M92" s="237"/>
      <c r="N92" s="220"/>
      <c r="O92" s="220"/>
      <c r="P92" s="237"/>
      <c r="Q92" s="237"/>
      <c r="R92" s="237"/>
      <c r="S92" s="220"/>
      <c r="T92" s="220"/>
      <c r="U92" s="237"/>
      <c r="V92" s="237"/>
      <c r="W92" s="237"/>
      <c r="X92" s="220"/>
      <c r="Y92" s="220"/>
      <c r="Z92" s="237"/>
      <c r="AA92" s="237"/>
      <c r="AB92" s="237"/>
      <c r="AC92" s="237"/>
      <c r="AD92" s="237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</row>
    <row r="93" spans="1:44" s="228" customFormat="1" ht="18" customHeight="1" hidden="1">
      <c r="A93" s="255"/>
      <c r="B93" s="255">
        <v>83</v>
      </c>
      <c r="C93" s="237">
        <f aca="true" t="shared" si="43" ref="C93:C103">I149</f>
      </c>
      <c r="D93" s="237">
        <f aca="true" t="shared" si="44" ref="D93:D103">J149</f>
      </c>
      <c r="E93" s="237">
        <f aca="true" t="shared" si="45" ref="E93:E103">K149</f>
        <v>0</v>
      </c>
      <c r="F93" s="237">
        <f>'Spielereinsatzliste B2'!D30</f>
      </c>
      <c r="G93" s="220">
        <f t="shared" si="40"/>
      </c>
      <c r="H93" s="220">
        <f t="shared" si="41"/>
      </c>
      <c r="I93" s="220"/>
      <c r="J93" s="220"/>
      <c r="K93" s="237"/>
      <c r="L93" s="237"/>
      <c r="M93" s="237"/>
      <c r="N93" s="220"/>
      <c r="O93" s="220"/>
      <c r="P93" s="237"/>
      <c r="Q93" s="237"/>
      <c r="R93" s="237"/>
      <c r="S93" s="220"/>
      <c r="T93" s="220"/>
      <c r="U93" s="237"/>
      <c r="V93" s="237"/>
      <c r="W93" s="237"/>
      <c r="X93" s="220"/>
      <c r="Y93" s="220"/>
      <c r="Z93" s="237"/>
      <c r="AA93" s="237"/>
      <c r="AB93" s="237"/>
      <c r="AC93" s="237"/>
      <c r="AD93" s="237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</row>
    <row r="94" spans="1:44" s="228" customFormat="1" ht="18" customHeight="1" hidden="1">
      <c r="A94" s="255"/>
      <c r="B94" s="255">
        <v>84</v>
      </c>
      <c r="C94" s="237">
        <f t="shared" si="43"/>
      </c>
      <c r="D94" s="237">
        <f t="shared" si="44"/>
      </c>
      <c r="E94" s="237">
        <f t="shared" si="45"/>
        <v>0</v>
      </c>
      <c r="F94" s="237">
        <f>'Spielereinsatzliste B2'!D31</f>
      </c>
      <c r="G94" s="220">
        <f t="shared" si="40"/>
      </c>
      <c r="H94" s="220">
        <f t="shared" si="41"/>
      </c>
      <c r="I94" s="220"/>
      <c r="J94" s="220"/>
      <c r="K94" s="237"/>
      <c r="L94" s="237"/>
      <c r="M94" s="237"/>
      <c r="N94" s="220"/>
      <c r="O94" s="220"/>
      <c r="P94" s="237"/>
      <c r="Q94" s="237"/>
      <c r="R94" s="237"/>
      <c r="S94" s="220"/>
      <c r="T94" s="220"/>
      <c r="U94" s="237"/>
      <c r="V94" s="237"/>
      <c r="W94" s="237"/>
      <c r="X94" s="220"/>
      <c r="Y94" s="220"/>
      <c r="Z94" s="237"/>
      <c r="AA94" s="237"/>
      <c r="AB94" s="237"/>
      <c r="AC94" s="237"/>
      <c r="AD94" s="237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</row>
    <row r="95" spans="1:44" s="228" customFormat="1" ht="18" customHeight="1" hidden="1">
      <c r="A95" s="255"/>
      <c r="B95" s="255">
        <v>85</v>
      </c>
      <c r="C95" s="237">
        <f t="shared" si="43"/>
      </c>
      <c r="D95" s="237">
        <f t="shared" si="44"/>
      </c>
      <c r="E95" s="237">
        <f t="shared" si="45"/>
        <v>0</v>
      </c>
      <c r="F95" s="237">
        <f>'Spielereinsatzliste B2'!D32</f>
      </c>
      <c r="G95" s="220">
        <f t="shared" si="40"/>
      </c>
      <c r="H95" s="220">
        <f t="shared" si="41"/>
      </c>
      <c r="I95" s="220"/>
      <c r="J95" s="220"/>
      <c r="K95" s="237"/>
      <c r="L95" s="237"/>
      <c r="M95" s="237"/>
      <c r="N95" s="220"/>
      <c r="O95" s="220"/>
      <c r="P95" s="237"/>
      <c r="Q95" s="237"/>
      <c r="R95" s="237"/>
      <c r="S95" s="220"/>
      <c r="T95" s="220"/>
      <c r="U95" s="237"/>
      <c r="V95" s="237"/>
      <c r="W95" s="237"/>
      <c r="X95" s="220"/>
      <c r="Y95" s="220"/>
      <c r="Z95" s="237"/>
      <c r="AA95" s="237"/>
      <c r="AB95" s="237"/>
      <c r="AC95" s="237"/>
      <c r="AD95" s="237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</row>
    <row r="96" spans="1:44" s="228" customFormat="1" ht="18" customHeight="1" hidden="1">
      <c r="A96" s="255"/>
      <c r="B96" s="255">
        <v>86</v>
      </c>
      <c r="C96" s="237">
        <f t="shared" si="43"/>
      </c>
      <c r="D96" s="237">
        <f t="shared" si="44"/>
        <v>0</v>
      </c>
      <c r="E96" s="237">
        <f t="shared" si="45"/>
        <v>0</v>
      </c>
      <c r="F96" s="237">
        <f>'Spielereinsatzliste B2'!D33</f>
      </c>
      <c r="G96" s="220">
        <f t="shared" si="40"/>
      </c>
      <c r="H96" s="220">
        <f t="shared" si="41"/>
      </c>
      <c r="I96" s="220"/>
      <c r="J96" s="220"/>
      <c r="K96" s="237"/>
      <c r="L96" s="237"/>
      <c r="M96" s="237"/>
      <c r="N96" s="220"/>
      <c r="O96" s="220"/>
      <c r="P96" s="237"/>
      <c r="Q96" s="237"/>
      <c r="R96" s="237"/>
      <c r="S96" s="220"/>
      <c r="T96" s="220"/>
      <c r="U96" s="237"/>
      <c r="V96" s="237"/>
      <c r="W96" s="237"/>
      <c r="X96" s="220"/>
      <c r="Y96" s="220"/>
      <c r="Z96" s="237"/>
      <c r="AA96" s="237"/>
      <c r="AB96" s="237"/>
      <c r="AC96" s="237"/>
      <c r="AD96" s="237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</row>
    <row r="97" spans="1:44" s="228" customFormat="1" ht="18" customHeight="1" hidden="1">
      <c r="A97" s="255"/>
      <c r="B97" s="255">
        <v>87</v>
      </c>
      <c r="C97" s="237">
        <f t="shared" si="43"/>
      </c>
      <c r="D97" s="237">
        <f t="shared" si="44"/>
      </c>
      <c r="E97" s="237">
        <f t="shared" si="45"/>
        <v>0</v>
      </c>
      <c r="F97" s="237">
        <f>'Spielereinsatzliste B2'!D34</f>
      </c>
      <c r="G97" s="220">
        <f t="shared" si="40"/>
      </c>
      <c r="H97" s="220">
        <f t="shared" si="41"/>
      </c>
      <c r="I97" s="220"/>
      <c r="J97" s="220"/>
      <c r="K97" s="237"/>
      <c r="L97" s="237"/>
      <c r="M97" s="237"/>
      <c r="N97" s="220"/>
      <c r="O97" s="220"/>
      <c r="P97" s="237"/>
      <c r="Q97" s="237"/>
      <c r="R97" s="237"/>
      <c r="S97" s="220"/>
      <c r="T97" s="220"/>
      <c r="U97" s="237"/>
      <c r="V97" s="237"/>
      <c r="W97" s="237"/>
      <c r="X97" s="220"/>
      <c r="Y97" s="220"/>
      <c r="Z97" s="237"/>
      <c r="AA97" s="237"/>
      <c r="AB97" s="237"/>
      <c r="AC97" s="237"/>
      <c r="AD97" s="237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</row>
    <row r="98" spans="1:44" s="228" customFormat="1" ht="18" customHeight="1" hidden="1">
      <c r="A98" s="255"/>
      <c r="B98" s="255">
        <v>88</v>
      </c>
      <c r="C98" s="237">
        <f t="shared" si="43"/>
      </c>
      <c r="D98" s="237">
        <f t="shared" si="44"/>
      </c>
      <c r="E98" s="237">
        <f t="shared" si="45"/>
        <v>0</v>
      </c>
      <c r="F98" s="237">
        <f>'Spielereinsatzliste B2'!D35</f>
      </c>
      <c r="G98" s="220">
        <f t="shared" si="40"/>
      </c>
      <c r="H98" s="220">
        <f t="shared" si="41"/>
      </c>
      <c r="I98" s="220"/>
      <c r="J98" s="220"/>
      <c r="K98" s="237"/>
      <c r="L98" s="237"/>
      <c r="M98" s="237"/>
      <c r="N98" s="220"/>
      <c r="O98" s="220"/>
      <c r="P98" s="237"/>
      <c r="Q98" s="237"/>
      <c r="R98" s="237"/>
      <c r="S98" s="220"/>
      <c r="T98" s="220"/>
      <c r="U98" s="237"/>
      <c r="V98" s="237"/>
      <c r="W98" s="237"/>
      <c r="X98" s="220"/>
      <c r="Y98" s="220"/>
      <c r="Z98" s="237"/>
      <c r="AA98" s="237"/>
      <c r="AB98" s="237"/>
      <c r="AC98" s="237"/>
      <c r="AD98" s="237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</row>
    <row r="99" spans="1:44" s="228" customFormat="1" ht="18" customHeight="1" hidden="1">
      <c r="A99" s="255"/>
      <c r="B99" s="255">
        <v>89</v>
      </c>
      <c r="C99" s="237">
        <f t="shared" si="43"/>
      </c>
      <c r="D99" s="237">
        <f t="shared" si="44"/>
      </c>
      <c r="E99" s="237">
        <f t="shared" si="45"/>
        <v>0</v>
      </c>
      <c r="F99" s="237">
        <f>'Spielereinsatzliste B2'!D36</f>
      </c>
      <c r="G99" s="220">
        <f t="shared" si="40"/>
      </c>
      <c r="H99" s="220">
        <f t="shared" si="41"/>
      </c>
      <c r="I99" s="220"/>
      <c r="J99" s="220"/>
      <c r="K99" s="237"/>
      <c r="L99" s="237"/>
      <c r="M99" s="237"/>
      <c r="N99" s="220"/>
      <c r="O99" s="220"/>
      <c r="P99" s="237"/>
      <c r="Q99" s="237"/>
      <c r="R99" s="237"/>
      <c r="S99" s="220"/>
      <c r="T99" s="220"/>
      <c r="U99" s="237"/>
      <c r="V99" s="237"/>
      <c r="W99" s="237"/>
      <c r="X99" s="220"/>
      <c r="Y99" s="220"/>
      <c r="Z99" s="237"/>
      <c r="AA99" s="237"/>
      <c r="AB99" s="237"/>
      <c r="AC99" s="237"/>
      <c r="AD99" s="237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</row>
    <row r="100" spans="1:44" s="228" customFormat="1" ht="18" customHeight="1" hidden="1">
      <c r="A100" s="255"/>
      <c r="B100" s="255">
        <v>90</v>
      </c>
      <c r="C100" s="237">
        <f t="shared" si="43"/>
      </c>
      <c r="D100" s="237">
        <f t="shared" si="44"/>
      </c>
      <c r="E100" s="237">
        <f t="shared" si="45"/>
        <v>0</v>
      </c>
      <c r="F100" s="237">
        <f>'Spielereinsatzliste B2'!D37</f>
      </c>
      <c r="G100" s="220">
        <f t="shared" si="40"/>
      </c>
      <c r="H100" s="220">
        <f t="shared" si="41"/>
      </c>
      <c r="I100" s="220"/>
      <c r="J100" s="220"/>
      <c r="K100" s="237"/>
      <c r="L100" s="237"/>
      <c r="M100" s="237"/>
      <c r="N100" s="220"/>
      <c r="O100" s="220"/>
      <c r="P100" s="237"/>
      <c r="Q100" s="237"/>
      <c r="R100" s="237"/>
      <c r="S100" s="220"/>
      <c r="T100" s="220"/>
      <c r="U100" s="237"/>
      <c r="V100" s="237"/>
      <c r="W100" s="237"/>
      <c r="X100" s="220"/>
      <c r="Y100" s="220"/>
      <c r="Z100" s="237"/>
      <c r="AA100" s="237"/>
      <c r="AB100" s="237"/>
      <c r="AC100" s="237"/>
      <c r="AD100" s="237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</row>
    <row r="101" spans="1:44" s="228" customFormat="1" ht="18" customHeight="1" hidden="1">
      <c r="A101" s="255"/>
      <c r="B101" s="255">
        <v>91</v>
      </c>
      <c r="C101" s="237">
        <f t="shared" si="43"/>
      </c>
      <c r="D101" s="237">
        <f t="shared" si="44"/>
      </c>
      <c r="E101" s="237">
        <f t="shared" si="45"/>
        <v>0</v>
      </c>
      <c r="F101" s="237">
        <f>'Spielereinsatzliste B2'!D38</f>
      </c>
      <c r="G101" s="220">
        <f t="shared" si="40"/>
      </c>
      <c r="H101" s="220">
        <f t="shared" si="41"/>
      </c>
      <c r="I101" s="220"/>
      <c r="J101" s="220"/>
      <c r="K101" s="237"/>
      <c r="L101" s="237"/>
      <c r="M101" s="237"/>
      <c r="N101" s="220"/>
      <c r="O101" s="220"/>
      <c r="P101" s="237"/>
      <c r="Q101" s="237"/>
      <c r="R101" s="237"/>
      <c r="S101" s="220"/>
      <c r="T101" s="220"/>
      <c r="U101" s="237"/>
      <c r="V101" s="237"/>
      <c r="W101" s="237"/>
      <c r="X101" s="220"/>
      <c r="Y101" s="220"/>
      <c r="Z101" s="237"/>
      <c r="AA101" s="237"/>
      <c r="AB101" s="237"/>
      <c r="AC101" s="237"/>
      <c r="AD101" s="237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</row>
    <row r="102" spans="1:44" s="228" customFormat="1" ht="18" customHeight="1" hidden="1">
      <c r="A102" s="255"/>
      <c r="B102" s="255">
        <v>92</v>
      </c>
      <c r="C102" s="237">
        <f t="shared" si="43"/>
        <v>0</v>
      </c>
      <c r="D102" s="237">
        <f t="shared" si="44"/>
        <v>0</v>
      </c>
      <c r="E102" s="237">
        <f t="shared" si="45"/>
        <v>0</v>
      </c>
      <c r="F102" s="237"/>
      <c r="G102" s="220">
        <f t="shared" si="40"/>
      </c>
      <c r="H102" s="220">
        <f t="shared" si="41"/>
      </c>
      <c r="I102" s="220"/>
      <c r="J102" s="220"/>
      <c r="K102" s="237"/>
      <c r="L102" s="237"/>
      <c r="M102" s="237"/>
      <c r="N102" s="220"/>
      <c r="O102" s="220"/>
      <c r="P102" s="237"/>
      <c r="Q102" s="237"/>
      <c r="R102" s="237"/>
      <c r="S102" s="220"/>
      <c r="T102" s="220"/>
      <c r="U102" s="237"/>
      <c r="V102" s="237"/>
      <c r="W102" s="237"/>
      <c r="X102" s="220"/>
      <c r="Y102" s="220"/>
      <c r="Z102" s="237"/>
      <c r="AA102" s="237"/>
      <c r="AB102" s="237"/>
      <c r="AC102" s="237"/>
      <c r="AD102" s="237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</row>
    <row r="103" spans="1:44" s="228" customFormat="1" ht="18" customHeight="1" hidden="1">
      <c r="A103" s="255"/>
      <c r="B103" s="255">
        <v>93</v>
      </c>
      <c r="C103" s="237">
        <f t="shared" si="43"/>
        <v>0</v>
      </c>
      <c r="D103" s="237">
        <f t="shared" si="44"/>
        <v>0</v>
      </c>
      <c r="E103" s="237">
        <f t="shared" si="45"/>
        <v>0</v>
      </c>
      <c r="F103" s="237"/>
      <c r="G103" s="220">
        <f t="shared" si="40"/>
      </c>
      <c r="H103" s="220">
        <f t="shared" si="41"/>
      </c>
      <c r="I103" s="220"/>
      <c r="J103" s="220"/>
      <c r="K103" s="237"/>
      <c r="L103" s="237"/>
      <c r="M103" s="237"/>
      <c r="N103" s="220"/>
      <c r="O103" s="220"/>
      <c r="P103" s="237"/>
      <c r="Q103" s="237"/>
      <c r="R103" s="237"/>
      <c r="S103" s="220"/>
      <c r="T103" s="220"/>
      <c r="U103" s="237"/>
      <c r="V103" s="237"/>
      <c r="W103" s="237"/>
      <c r="X103" s="220"/>
      <c r="Y103" s="220"/>
      <c r="Z103" s="237"/>
      <c r="AA103" s="237"/>
      <c r="AB103" s="237"/>
      <c r="AC103" s="237"/>
      <c r="AD103" s="237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</row>
    <row r="104" spans="1:44" s="228" customFormat="1" ht="18" customHeight="1" hidden="1">
      <c r="A104" s="255"/>
      <c r="B104" s="255"/>
      <c r="C104" s="237"/>
      <c r="D104" s="237"/>
      <c r="E104" s="237"/>
      <c r="F104" s="237"/>
      <c r="G104" s="220">
        <f t="shared" si="40"/>
      </c>
      <c r="H104" s="220">
        <f t="shared" si="41"/>
      </c>
      <c r="I104" s="220"/>
      <c r="J104" s="220"/>
      <c r="K104" s="237"/>
      <c r="L104" s="237"/>
      <c r="M104" s="237"/>
      <c r="N104" s="220"/>
      <c r="O104" s="220"/>
      <c r="P104" s="237"/>
      <c r="Q104" s="237"/>
      <c r="R104" s="237"/>
      <c r="S104" s="220"/>
      <c r="T104" s="220"/>
      <c r="U104" s="237"/>
      <c r="V104" s="237"/>
      <c r="W104" s="237"/>
      <c r="X104" s="220"/>
      <c r="Y104" s="220"/>
      <c r="Z104" s="237"/>
      <c r="AA104" s="237"/>
      <c r="AB104" s="237"/>
      <c r="AC104" s="237"/>
      <c r="AD104" s="237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</row>
    <row r="105" spans="1:44" s="228" customFormat="1" ht="18" customHeight="1" hidden="1">
      <c r="A105" s="255"/>
      <c r="B105" s="255">
        <v>94</v>
      </c>
      <c r="C105" s="237">
        <f>N148</f>
      </c>
      <c r="D105" s="237">
        <f>O148</f>
        <v>0</v>
      </c>
      <c r="E105" s="237">
        <f>P148</f>
        <v>0</v>
      </c>
      <c r="F105" s="237">
        <f>'Spielereinsatzliste B3'!D29</f>
      </c>
      <c r="G105" s="220">
        <f t="shared" si="40"/>
      </c>
      <c r="H105" s="220">
        <f t="shared" si="41"/>
      </c>
      <c r="I105" s="220"/>
      <c r="J105" s="220"/>
      <c r="K105" s="237"/>
      <c r="L105" s="237"/>
      <c r="M105" s="237"/>
      <c r="N105" s="220"/>
      <c r="O105" s="220"/>
      <c r="P105" s="237"/>
      <c r="Q105" s="237"/>
      <c r="R105" s="237"/>
      <c r="S105" s="220"/>
      <c r="T105" s="220"/>
      <c r="U105" s="237"/>
      <c r="V105" s="237"/>
      <c r="W105" s="237"/>
      <c r="X105" s="220"/>
      <c r="Y105" s="220"/>
      <c r="Z105" s="237"/>
      <c r="AA105" s="237"/>
      <c r="AB105" s="237"/>
      <c r="AC105" s="237"/>
      <c r="AD105" s="237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</row>
    <row r="106" spans="1:44" s="228" customFormat="1" ht="18" customHeight="1" hidden="1">
      <c r="A106" s="255"/>
      <c r="B106" s="255">
        <v>95</v>
      </c>
      <c r="C106" s="237">
        <f aca="true" t="shared" si="46" ref="C106:C116">N149</f>
      </c>
      <c r="D106" s="237">
        <f aca="true" t="shared" si="47" ref="D106:D116">O149</f>
      </c>
      <c r="E106" s="237">
        <f aca="true" t="shared" si="48" ref="E106:E116">P149</f>
        <v>0</v>
      </c>
      <c r="F106" s="237">
        <f>'Spielereinsatzliste B3'!D30</f>
      </c>
      <c r="G106" s="220">
        <f t="shared" si="40"/>
      </c>
      <c r="H106" s="220">
        <f t="shared" si="41"/>
      </c>
      <c r="I106" s="220"/>
      <c r="J106" s="220"/>
      <c r="K106" s="237"/>
      <c r="L106" s="237"/>
      <c r="M106" s="237"/>
      <c r="N106" s="220"/>
      <c r="O106" s="220"/>
      <c r="P106" s="237"/>
      <c r="Q106" s="237"/>
      <c r="R106" s="237"/>
      <c r="S106" s="220"/>
      <c r="T106" s="220"/>
      <c r="U106" s="237"/>
      <c r="V106" s="237"/>
      <c r="W106" s="237"/>
      <c r="X106" s="220"/>
      <c r="Y106" s="220"/>
      <c r="Z106" s="237"/>
      <c r="AA106" s="237"/>
      <c r="AB106" s="237"/>
      <c r="AC106" s="237"/>
      <c r="AD106" s="237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</row>
    <row r="107" spans="1:44" s="228" customFormat="1" ht="18" customHeight="1" hidden="1">
      <c r="A107" s="255"/>
      <c r="B107" s="255">
        <v>96</v>
      </c>
      <c r="C107" s="237">
        <f t="shared" si="46"/>
      </c>
      <c r="D107" s="237">
        <f t="shared" si="47"/>
      </c>
      <c r="E107" s="237">
        <f t="shared" si="48"/>
        <v>0</v>
      </c>
      <c r="F107" s="237">
        <f>'Spielereinsatzliste B3'!D31</f>
      </c>
      <c r="G107" s="220">
        <f t="shared" si="40"/>
      </c>
      <c r="H107" s="220">
        <f t="shared" si="41"/>
      </c>
      <c r="I107" s="220"/>
      <c r="J107" s="220"/>
      <c r="K107" s="237"/>
      <c r="L107" s="237"/>
      <c r="M107" s="237"/>
      <c r="N107" s="220"/>
      <c r="O107" s="220"/>
      <c r="P107" s="237"/>
      <c r="Q107" s="237"/>
      <c r="R107" s="237"/>
      <c r="S107" s="220"/>
      <c r="T107" s="220"/>
      <c r="U107" s="237"/>
      <c r="V107" s="237"/>
      <c r="W107" s="237"/>
      <c r="X107" s="220"/>
      <c r="Y107" s="220"/>
      <c r="Z107" s="237"/>
      <c r="AA107" s="237"/>
      <c r="AB107" s="237"/>
      <c r="AC107" s="237"/>
      <c r="AD107" s="237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</row>
    <row r="108" spans="1:44" s="228" customFormat="1" ht="18" customHeight="1" hidden="1">
      <c r="A108" s="255"/>
      <c r="B108" s="255">
        <v>97</v>
      </c>
      <c r="C108" s="237">
        <f t="shared" si="46"/>
      </c>
      <c r="D108" s="237">
        <f t="shared" si="47"/>
      </c>
      <c r="E108" s="237">
        <f t="shared" si="48"/>
        <v>0</v>
      </c>
      <c r="F108" s="237">
        <f>'Spielereinsatzliste B3'!D32</f>
      </c>
      <c r="G108" s="220">
        <f t="shared" si="40"/>
      </c>
      <c r="H108" s="220">
        <f t="shared" si="41"/>
      </c>
      <c r="I108" s="220"/>
      <c r="J108" s="220"/>
      <c r="K108" s="237"/>
      <c r="L108" s="237"/>
      <c r="M108" s="237"/>
      <c r="N108" s="220"/>
      <c r="O108" s="220"/>
      <c r="P108" s="237"/>
      <c r="Q108" s="237"/>
      <c r="R108" s="237"/>
      <c r="S108" s="220"/>
      <c r="T108" s="220"/>
      <c r="U108" s="237"/>
      <c r="V108" s="237"/>
      <c r="W108" s="237"/>
      <c r="X108" s="220"/>
      <c r="Y108" s="220"/>
      <c r="Z108" s="237"/>
      <c r="AA108" s="237"/>
      <c r="AB108" s="237"/>
      <c r="AC108" s="237"/>
      <c r="AD108" s="237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</row>
    <row r="109" spans="1:44" s="228" customFormat="1" ht="18" customHeight="1" hidden="1">
      <c r="A109" s="255"/>
      <c r="B109" s="255">
        <v>98</v>
      </c>
      <c r="C109" s="237">
        <f t="shared" si="46"/>
      </c>
      <c r="D109" s="237">
        <f t="shared" si="47"/>
      </c>
      <c r="E109" s="237">
        <f t="shared" si="48"/>
        <v>0</v>
      </c>
      <c r="F109" s="237">
        <f>'Spielereinsatzliste B3'!D33</f>
      </c>
      <c r="G109" s="220">
        <f t="shared" si="40"/>
      </c>
      <c r="H109" s="220">
        <f t="shared" si="41"/>
      </c>
      <c r="I109" s="220"/>
      <c r="J109" s="220"/>
      <c r="K109" s="237"/>
      <c r="L109" s="237"/>
      <c r="M109" s="237"/>
      <c r="N109" s="220"/>
      <c r="O109" s="220"/>
      <c r="P109" s="237"/>
      <c r="Q109" s="237"/>
      <c r="R109" s="237"/>
      <c r="S109" s="220"/>
      <c r="T109" s="220"/>
      <c r="U109" s="237"/>
      <c r="V109" s="237"/>
      <c r="W109" s="237"/>
      <c r="X109" s="220"/>
      <c r="Y109" s="220"/>
      <c r="Z109" s="237"/>
      <c r="AA109" s="237"/>
      <c r="AB109" s="237"/>
      <c r="AC109" s="237"/>
      <c r="AD109" s="237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</row>
    <row r="110" spans="1:44" s="228" customFormat="1" ht="18" customHeight="1" hidden="1">
      <c r="A110" s="255"/>
      <c r="B110" s="255">
        <v>99</v>
      </c>
      <c r="C110" s="237">
        <f t="shared" si="46"/>
      </c>
      <c r="D110" s="237">
        <f t="shared" si="47"/>
      </c>
      <c r="E110" s="237">
        <f t="shared" si="48"/>
        <v>0</v>
      </c>
      <c r="F110" s="237">
        <f>'Spielereinsatzliste B3'!D34</f>
      </c>
      <c r="G110" s="220">
        <f t="shared" si="40"/>
      </c>
      <c r="H110" s="220">
        <f t="shared" si="41"/>
      </c>
      <c r="I110" s="220"/>
      <c r="J110" s="220"/>
      <c r="K110" s="237"/>
      <c r="L110" s="237"/>
      <c r="M110" s="237"/>
      <c r="N110" s="220"/>
      <c r="O110" s="220"/>
      <c r="P110" s="237"/>
      <c r="Q110" s="237"/>
      <c r="R110" s="237"/>
      <c r="S110" s="220"/>
      <c r="T110" s="220"/>
      <c r="U110" s="237"/>
      <c r="V110" s="237"/>
      <c r="W110" s="237"/>
      <c r="X110" s="220"/>
      <c r="Y110" s="220"/>
      <c r="Z110" s="237"/>
      <c r="AA110" s="237"/>
      <c r="AB110" s="237"/>
      <c r="AC110" s="237"/>
      <c r="AD110" s="237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</row>
    <row r="111" spans="1:44" s="228" customFormat="1" ht="18" customHeight="1" hidden="1">
      <c r="A111" s="255"/>
      <c r="B111" s="255">
        <v>100</v>
      </c>
      <c r="C111" s="237">
        <f t="shared" si="46"/>
      </c>
      <c r="D111" s="237">
        <f t="shared" si="47"/>
      </c>
      <c r="E111" s="237">
        <f t="shared" si="48"/>
        <v>0</v>
      </c>
      <c r="F111" s="237">
        <f>'Spielereinsatzliste B3'!D35</f>
      </c>
      <c r="G111" s="220">
        <f t="shared" si="40"/>
      </c>
      <c r="H111" s="220">
        <f t="shared" si="41"/>
      </c>
      <c r="I111" s="220"/>
      <c r="J111" s="220"/>
      <c r="K111" s="237"/>
      <c r="L111" s="237"/>
      <c r="M111" s="237"/>
      <c r="N111" s="220"/>
      <c r="O111" s="220"/>
      <c r="P111" s="237"/>
      <c r="Q111" s="237"/>
      <c r="R111" s="237"/>
      <c r="S111" s="220"/>
      <c r="T111" s="220"/>
      <c r="U111" s="237"/>
      <c r="V111" s="237"/>
      <c r="W111" s="237"/>
      <c r="X111" s="220"/>
      <c r="Y111" s="220"/>
      <c r="Z111" s="237"/>
      <c r="AA111" s="237"/>
      <c r="AB111" s="237"/>
      <c r="AC111" s="237"/>
      <c r="AD111" s="237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</row>
    <row r="112" spans="1:44" s="228" customFormat="1" ht="18" customHeight="1" hidden="1">
      <c r="A112" s="255"/>
      <c r="B112" s="255">
        <v>101</v>
      </c>
      <c r="C112" s="237">
        <f t="shared" si="46"/>
      </c>
      <c r="D112" s="237">
        <f t="shared" si="47"/>
      </c>
      <c r="E112" s="237">
        <f t="shared" si="48"/>
        <v>0</v>
      </c>
      <c r="F112" s="237">
        <f>'Spielereinsatzliste B3'!D36</f>
      </c>
      <c r="G112" s="220">
        <f t="shared" si="40"/>
      </c>
      <c r="H112" s="220">
        <f t="shared" si="41"/>
      </c>
      <c r="I112" s="220"/>
      <c r="J112" s="220"/>
      <c r="K112" s="237"/>
      <c r="L112" s="237"/>
      <c r="M112" s="237"/>
      <c r="N112" s="220"/>
      <c r="O112" s="220"/>
      <c r="P112" s="237"/>
      <c r="Q112" s="237"/>
      <c r="R112" s="237"/>
      <c r="S112" s="220"/>
      <c r="T112" s="220"/>
      <c r="U112" s="237"/>
      <c r="V112" s="237"/>
      <c r="W112" s="237"/>
      <c r="X112" s="220"/>
      <c r="Y112" s="220"/>
      <c r="Z112" s="237"/>
      <c r="AA112" s="237"/>
      <c r="AB112" s="237"/>
      <c r="AC112" s="237"/>
      <c r="AD112" s="237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</row>
    <row r="113" spans="1:44" s="228" customFormat="1" ht="18" customHeight="1" hidden="1">
      <c r="A113" s="255"/>
      <c r="B113" s="255">
        <v>102</v>
      </c>
      <c r="C113" s="237">
        <f t="shared" si="46"/>
      </c>
      <c r="D113" s="237">
        <f t="shared" si="47"/>
      </c>
      <c r="E113" s="237">
        <f t="shared" si="48"/>
        <v>0</v>
      </c>
      <c r="F113" s="237">
        <f>'Spielereinsatzliste B3'!D37</f>
      </c>
      <c r="G113" s="220">
        <f t="shared" si="40"/>
      </c>
      <c r="H113" s="220">
        <f t="shared" si="41"/>
      </c>
      <c r="I113" s="220"/>
      <c r="J113" s="220"/>
      <c r="K113" s="237"/>
      <c r="L113" s="237"/>
      <c r="M113" s="237"/>
      <c r="N113" s="220"/>
      <c r="O113" s="220"/>
      <c r="P113" s="237"/>
      <c r="Q113" s="237"/>
      <c r="R113" s="237"/>
      <c r="S113" s="220"/>
      <c r="T113" s="220"/>
      <c r="U113" s="237"/>
      <c r="V113" s="237"/>
      <c r="W113" s="237"/>
      <c r="X113" s="220"/>
      <c r="Y113" s="220"/>
      <c r="Z113" s="237"/>
      <c r="AA113" s="237"/>
      <c r="AB113" s="237"/>
      <c r="AC113" s="237"/>
      <c r="AD113" s="237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</row>
    <row r="114" spans="1:44" s="228" customFormat="1" ht="18" customHeight="1" hidden="1">
      <c r="A114" s="255"/>
      <c r="B114" s="255">
        <v>103</v>
      </c>
      <c r="C114" s="237">
        <f t="shared" si="46"/>
      </c>
      <c r="D114" s="237">
        <f t="shared" si="47"/>
      </c>
      <c r="E114" s="237">
        <f t="shared" si="48"/>
        <v>0</v>
      </c>
      <c r="F114" s="237">
        <f>'Spielereinsatzliste B3'!D38</f>
      </c>
      <c r="G114" s="220">
        <f t="shared" si="40"/>
      </c>
      <c r="H114" s="220">
        <f t="shared" si="41"/>
      </c>
      <c r="I114" s="220"/>
      <c r="J114" s="220"/>
      <c r="K114" s="237"/>
      <c r="L114" s="237"/>
      <c r="M114" s="237"/>
      <c r="N114" s="220"/>
      <c r="O114" s="220"/>
      <c r="P114" s="237"/>
      <c r="Q114" s="237"/>
      <c r="R114" s="237"/>
      <c r="S114" s="220"/>
      <c r="T114" s="220"/>
      <c r="U114" s="237"/>
      <c r="V114" s="237"/>
      <c r="W114" s="237"/>
      <c r="X114" s="220"/>
      <c r="Y114" s="220"/>
      <c r="Z114" s="237"/>
      <c r="AA114" s="237"/>
      <c r="AB114" s="237"/>
      <c r="AC114" s="237"/>
      <c r="AD114" s="237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</row>
    <row r="115" spans="1:44" s="228" customFormat="1" ht="18" customHeight="1" hidden="1">
      <c r="A115" s="255"/>
      <c r="B115" s="255">
        <v>104</v>
      </c>
      <c r="C115" s="237">
        <f t="shared" si="46"/>
        <v>0</v>
      </c>
      <c r="D115" s="237">
        <f t="shared" si="47"/>
        <v>0</v>
      </c>
      <c r="E115" s="237">
        <f t="shared" si="48"/>
        <v>0</v>
      </c>
      <c r="F115" s="237"/>
      <c r="G115" s="220">
        <f t="shared" si="40"/>
      </c>
      <c r="H115" s="220">
        <f t="shared" si="41"/>
      </c>
      <c r="I115" s="220"/>
      <c r="J115" s="220"/>
      <c r="K115" s="237"/>
      <c r="L115" s="237"/>
      <c r="M115" s="237"/>
      <c r="N115" s="220"/>
      <c r="O115" s="220"/>
      <c r="P115" s="237"/>
      <c r="Q115" s="237"/>
      <c r="R115" s="237"/>
      <c r="S115" s="220"/>
      <c r="T115" s="220"/>
      <c r="U115" s="237"/>
      <c r="V115" s="237"/>
      <c r="W115" s="237"/>
      <c r="X115" s="220"/>
      <c r="Y115" s="220"/>
      <c r="Z115" s="237"/>
      <c r="AA115" s="237"/>
      <c r="AB115" s="237"/>
      <c r="AC115" s="237"/>
      <c r="AD115" s="237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</row>
    <row r="116" spans="1:44" s="228" customFormat="1" ht="18" customHeight="1" hidden="1">
      <c r="A116" s="255"/>
      <c r="B116" s="255">
        <v>105</v>
      </c>
      <c r="C116" s="237">
        <f t="shared" si="46"/>
        <v>0</v>
      </c>
      <c r="D116" s="237">
        <f t="shared" si="47"/>
        <v>0</v>
      </c>
      <c r="E116" s="237">
        <f t="shared" si="48"/>
        <v>0</v>
      </c>
      <c r="F116" s="237"/>
      <c r="G116" s="220">
        <f t="shared" si="40"/>
      </c>
      <c r="H116" s="220">
        <f t="shared" si="41"/>
      </c>
      <c r="I116" s="220"/>
      <c r="J116" s="220"/>
      <c r="K116" s="237"/>
      <c r="L116" s="237"/>
      <c r="M116" s="237"/>
      <c r="N116" s="220"/>
      <c r="O116" s="220"/>
      <c r="P116" s="237"/>
      <c r="Q116" s="237"/>
      <c r="R116" s="237"/>
      <c r="S116" s="220"/>
      <c r="T116" s="220"/>
      <c r="U116" s="237"/>
      <c r="V116" s="237"/>
      <c r="W116" s="237"/>
      <c r="X116" s="220"/>
      <c r="Y116" s="220"/>
      <c r="Z116" s="237"/>
      <c r="AA116" s="237"/>
      <c r="AB116" s="237"/>
      <c r="AC116" s="237"/>
      <c r="AD116" s="237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</row>
    <row r="117" spans="1:44" s="228" customFormat="1" ht="18" customHeight="1" hidden="1">
      <c r="A117" s="255"/>
      <c r="B117" s="255"/>
      <c r="C117" s="237"/>
      <c r="D117" s="237"/>
      <c r="E117" s="237"/>
      <c r="F117" s="237"/>
      <c r="G117" s="220">
        <f t="shared" si="40"/>
      </c>
      <c r="H117" s="220">
        <f t="shared" si="41"/>
      </c>
      <c r="I117" s="220"/>
      <c r="J117" s="220"/>
      <c r="K117" s="237"/>
      <c r="L117" s="237"/>
      <c r="M117" s="237"/>
      <c r="N117" s="220"/>
      <c r="O117" s="220"/>
      <c r="P117" s="237"/>
      <c r="Q117" s="237"/>
      <c r="R117" s="237"/>
      <c r="S117" s="220"/>
      <c r="T117" s="220"/>
      <c r="U117" s="237"/>
      <c r="V117" s="237"/>
      <c r="W117" s="237"/>
      <c r="X117" s="220"/>
      <c r="Y117" s="220"/>
      <c r="Z117" s="237"/>
      <c r="AA117" s="237"/>
      <c r="AB117" s="237"/>
      <c r="AC117" s="237"/>
      <c r="AD117" s="237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</row>
    <row r="118" spans="1:44" s="228" customFormat="1" ht="18" customHeight="1" hidden="1">
      <c r="A118" s="255"/>
      <c r="B118" s="255">
        <v>106</v>
      </c>
      <c r="C118" s="237">
        <f>S148</f>
      </c>
      <c r="D118" s="237">
        <f>T148</f>
        <v>0</v>
      </c>
      <c r="E118" s="237">
        <f>U148</f>
        <v>0</v>
      </c>
      <c r="F118" s="237">
        <f>'Spielereinsatzliste B4'!D29</f>
      </c>
      <c r="G118" s="220">
        <f t="shared" si="40"/>
      </c>
      <c r="H118" s="220">
        <f t="shared" si="41"/>
      </c>
      <c r="I118" s="220"/>
      <c r="J118" s="220"/>
      <c r="K118" s="237"/>
      <c r="L118" s="237"/>
      <c r="M118" s="237"/>
      <c r="N118" s="220"/>
      <c r="O118" s="220"/>
      <c r="P118" s="237"/>
      <c r="Q118" s="237"/>
      <c r="R118" s="237"/>
      <c r="S118" s="220"/>
      <c r="T118" s="220"/>
      <c r="U118" s="237"/>
      <c r="V118" s="237"/>
      <c r="W118" s="237"/>
      <c r="X118" s="220"/>
      <c r="Y118" s="220"/>
      <c r="Z118" s="237"/>
      <c r="AA118" s="237"/>
      <c r="AB118" s="237"/>
      <c r="AC118" s="237"/>
      <c r="AD118" s="237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</row>
    <row r="119" spans="1:44" s="228" customFormat="1" ht="18" customHeight="1" hidden="1">
      <c r="A119" s="255"/>
      <c r="B119" s="255">
        <v>107</v>
      </c>
      <c r="C119" s="237">
        <f aca="true" t="shared" si="49" ref="C119:C129">S149</f>
      </c>
      <c r="D119" s="237">
        <f aca="true" t="shared" si="50" ref="D119:D129">T149</f>
      </c>
      <c r="E119" s="237">
        <f aca="true" t="shared" si="51" ref="E119:E129">U149</f>
        <v>0</v>
      </c>
      <c r="F119" s="237">
        <f>'Spielereinsatzliste B4'!D30</f>
      </c>
      <c r="G119" s="220">
        <f t="shared" si="40"/>
      </c>
      <c r="H119" s="220">
        <f t="shared" si="41"/>
      </c>
      <c r="I119" s="220"/>
      <c r="J119" s="220"/>
      <c r="K119" s="237"/>
      <c r="L119" s="237"/>
      <c r="M119" s="237"/>
      <c r="N119" s="220"/>
      <c r="O119" s="220"/>
      <c r="P119" s="237"/>
      <c r="Q119" s="237"/>
      <c r="R119" s="237"/>
      <c r="S119" s="220"/>
      <c r="T119" s="220"/>
      <c r="U119" s="237"/>
      <c r="V119" s="237"/>
      <c r="W119" s="237"/>
      <c r="X119" s="220"/>
      <c r="Y119" s="220"/>
      <c r="Z119" s="237"/>
      <c r="AA119" s="237"/>
      <c r="AB119" s="237"/>
      <c r="AC119" s="237"/>
      <c r="AD119" s="237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</row>
    <row r="120" spans="1:44" s="228" customFormat="1" ht="18" customHeight="1" hidden="1">
      <c r="A120" s="255"/>
      <c r="B120" s="255">
        <v>108</v>
      </c>
      <c r="C120" s="237">
        <f t="shared" si="49"/>
      </c>
      <c r="D120" s="237">
        <f t="shared" si="50"/>
      </c>
      <c r="E120" s="237">
        <f t="shared" si="51"/>
        <v>0</v>
      </c>
      <c r="F120" s="237">
        <f>'Spielereinsatzliste B4'!D31</f>
      </c>
      <c r="G120" s="220">
        <f t="shared" si="40"/>
      </c>
      <c r="H120" s="220">
        <f t="shared" si="41"/>
      </c>
      <c r="I120" s="220"/>
      <c r="J120" s="220"/>
      <c r="K120" s="237"/>
      <c r="L120" s="237"/>
      <c r="M120" s="237"/>
      <c r="N120" s="220"/>
      <c r="O120" s="220"/>
      <c r="P120" s="237"/>
      <c r="Q120" s="237"/>
      <c r="R120" s="237"/>
      <c r="S120" s="220"/>
      <c r="T120" s="220"/>
      <c r="U120" s="237"/>
      <c r="V120" s="237"/>
      <c r="W120" s="237"/>
      <c r="X120" s="220"/>
      <c r="Y120" s="220"/>
      <c r="Z120" s="237"/>
      <c r="AA120" s="237"/>
      <c r="AB120" s="237"/>
      <c r="AC120" s="237"/>
      <c r="AD120" s="237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</row>
    <row r="121" spans="1:44" s="228" customFormat="1" ht="18" customHeight="1" hidden="1">
      <c r="A121" s="255"/>
      <c r="B121" s="255">
        <v>109</v>
      </c>
      <c r="C121" s="237">
        <f t="shared" si="49"/>
      </c>
      <c r="D121" s="237">
        <f t="shared" si="50"/>
      </c>
      <c r="E121" s="237">
        <f t="shared" si="51"/>
        <v>0</v>
      </c>
      <c r="F121" s="237">
        <f>'Spielereinsatzliste B4'!D32</f>
      </c>
      <c r="G121" s="220">
        <f t="shared" si="40"/>
      </c>
      <c r="H121" s="220">
        <f t="shared" si="41"/>
      </c>
      <c r="I121" s="220"/>
      <c r="J121" s="220"/>
      <c r="K121" s="237"/>
      <c r="L121" s="237"/>
      <c r="M121" s="237"/>
      <c r="N121" s="220"/>
      <c r="O121" s="220"/>
      <c r="P121" s="237"/>
      <c r="Q121" s="237"/>
      <c r="R121" s="237"/>
      <c r="S121" s="220"/>
      <c r="T121" s="220"/>
      <c r="U121" s="237"/>
      <c r="V121" s="237"/>
      <c r="W121" s="237"/>
      <c r="X121" s="220"/>
      <c r="Y121" s="220"/>
      <c r="Z121" s="237"/>
      <c r="AA121" s="237"/>
      <c r="AB121" s="237"/>
      <c r="AC121" s="237"/>
      <c r="AD121" s="237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</row>
    <row r="122" spans="1:44" s="228" customFormat="1" ht="18" customHeight="1" hidden="1">
      <c r="A122" s="255"/>
      <c r="B122" s="255">
        <v>110</v>
      </c>
      <c r="C122" s="237">
        <f t="shared" si="49"/>
      </c>
      <c r="D122" s="237">
        <f t="shared" si="50"/>
      </c>
      <c r="E122" s="237">
        <f t="shared" si="51"/>
        <v>0</v>
      </c>
      <c r="F122" s="237">
        <f>'Spielereinsatzliste B4'!D33</f>
      </c>
      <c r="G122" s="220">
        <f t="shared" si="40"/>
      </c>
      <c r="H122" s="220">
        <f t="shared" si="41"/>
      </c>
      <c r="I122" s="220"/>
      <c r="J122" s="220"/>
      <c r="K122" s="237"/>
      <c r="L122" s="237"/>
      <c r="M122" s="237"/>
      <c r="N122" s="220"/>
      <c r="O122" s="220"/>
      <c r="P122" s="237"/>
      <c r="Q122" s="237"/>
      <c r="R122" s="237"/>
      <c r="S122" s="220"/>
      <c r="T122" s="220"/>
      <c r="U122" s="237"/>
      <c r="V122" s="237"/>
      <c r="W122" s="237"/>
      <c r="X122" s="220"/>
      <c r="Y122" s="220"/>
      <c r="Z122" s="237"/>
      <c r="AA122" s="237"/>
      <c r="AB122" s="237"/>
      <c r="AC122" s="237"/>
      <c r="AD122" s="237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</row>
    <row r="123" spans="1:44" s="228" customFormat="1" ht="18" customHeight="1" hidden="1">
      <c r="A123" s="255"/>
      <c r="B123" s="255">
        <v>111</v>
      </c>
      <c r="C123" s="237">
        <f t="shared" si="49"/>
      </c>
      <c r="D123" s="237">
        <f t="shared" si="50"/>
      </c>
      <c r="E123" s="237">
        <f t="shared" si="51"/>
        <v>0</v>
      </c>
      <c r="F123" s="237">
        <f>'Spielereinsatzliste B4'!D34</f>
      </c>
      <c r="G123" s="220">
        <f t="shared" si="40"/>
      </c>
      <c r="H123" s="220">
        <f t="shared" si="41"/>
      </c>
      <c r="I123" s="220"/>
      <c r="J123" s="220"/>
      <c r="K123" s="237"/>
      <c r="L123" s="237"/>
      <c r="M123" s="237"/>
      <c r="N123" s="220"/>
      <c r="O123" s="220"/>
      <c r="P123" s="237"/>
      <c r="Q123" s="237"/>
      <c r="R123" s="237"/>
      <c r="S123" s="220"/>
      <c r="T123" s="220"/>
      <c r="U123" s="237"/>
      <c r="V123" s="237"/>
      <c r="W123" s="237"/>
      <c r="X123" s="220"/>
      <c r="Y123" s="220"/>
      <c r="Z123" s="237"/>
      <c r="AA123" s="237"/>
      <c r="AB123" s="237"/>
      <c r="AC123" s="237"/>
      <c r="AD123" s="237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</row>
    <row r="124" spans="1:44" s="228" customFormat="1" ht="18" customHeight="1" hidden="1">
      <c r="A124" s="255"/>
      <c r="B124" s="255">
        <v>112</v>
      </c>
      <c r="C124" s="237">
        <f t="shared" si="49"/>
      </c>
      <c r="D124" s="237">
        <f t="shared" si="50"/>
        <v>0</v>
      </c>
      <c r="E124" s="237">
        <f t="shared" si="51"/>
        <v>0</v>
      </c>
      <c r="F124" s="237">
        <f>'Spielereinsatzliste B4'!D35</f>
      </c>
      <c r="G124" s="220">
        <f t="shared" si="40"/>
      </c>
      <c r="H124" s="220">
        <f t="shared" si="41"/>
      </c>
      <c r="I124" s="220"/>
      <c r="J124" s="220"/>
      <c r="K124" s="237"/>
      <c r="L124" s="237"/>
      <c r="M124" s="237"/>
      <c r="N124" s="220"/>
      <c r="O124" s="220"/>
      <c r="P124" s="237"/>
      <c r="Q124" s="237"/>
      <c r="R124" s="237"/>
      <c r="S124" s="220"/>
      <c r="T124" s="220"/>
      <c r="U124" s="237"/>
      <c r="V124" s="237"/>
      <c r="W124" s="237"/>
      <c r="X124" s="220"/>
      <c r="Y124" s="220"/>
      <c r="Z124" s="237"/>
      <c r="AA124" s="237"/>
      <c r="AB124" s="237"/>
      <c r="AC124" s="237"/>
      <c r="AD124" s="237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</row>
    <row r="125" spans="1:44" s="228" customFormat="1" ht="18" customHeight="1" hidden="1">
      <c r="A125" s="255"/>
      <c r="B125" s="255">
        <v>113</v>
      </c>
      <c r="C125" s="237">
        <f t="shared" si="49"/>
      </c>
      <c r="D125" s="237">
        <f t="shared" si="50"/>
      </c>
      <c r="E125" s="237">
        <f t="shared" si="51"/>
        <v>0</v>
      </c>
      <c r="F125" s="237">
        <f>'Spielereinsatzliste B4'!D36</f>
      </c>
      <c r="G125" s="220">
        <f t="shared" si="40"/>
      </c>
      <c r="H125" s="220">
        <f t="shared" si="41"/>
      </c>
      <c r="I125" s="220"/>
      <c r="J125" s="220"/>
      <c r="K125" s="237"/>
      <c r="L125" s="237"/>
      <c r="M125" s="237"/>
      <c r="N125" s="220"/>
      <c r="O125" s="220"/>
      <c r="P125" s="237"/>
      <c r="Q125" s="237"/>
      <c r="R125" s="237"/>
      <c r="S125" s="220"/>
      <c r="T125" s="220"/>
      <c r="U125" s="237"/>
      <c r="V125" s="237"/>
      <c r="W125" s="237"/>
      <c r="X125" s="220"/>
      <c r="Y125" s="220"/>
      <c r="Z125" s="237"/>
      <c r="AA125" s="237"/>
      <c r="AB125" s="237"/>
      <c r="AC125" s="237"/>
      <c r="AD125" s="237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</row>
    <row r="126" spans="1:44" s="228" customFormat="1" ht="18" customHeight="1" hidden="1">
      <c r="A126" s="255"/>
      <c r="B126" s="255">
        <v>114</v>
      </c>
      <c r="C126" s="237">
        <f t="shared" si="49"/>
      </c>
      <c r="D126" s="237">
        <f t="shared" si="50"/>
      </c>
      <c r="E126" s="237">
        <f t="shared" si="51"/>
        <v>0</v>
      </c>
      <c r="F126" s="237">
        <f>'Spielereinsatzliste B4'!D37</f>
      </c>
      <c r="G126" s="220">
        <f t="shared" si="40"/>
      </c>
      <c r="H126" s="220">
        <f t="shared" si="41"/>
      </c>
      <c r="I126" s="220"/>
      <c r="J126" s="220"/>
      <c r="K126" s="237"/>
      <c r="L126" s="237"/>
      <c r="M126" s="237"/>
      <c r="N126" s="220"/>
      <c r="O126" s="220"/>
      <c r="P126" s="237"/>
      <c r="Q126" s="237"/>
      <c r="R126" s="237"/>
      <c r="S126" s="220"/>
      <c r="T126" s="220"/>
      <c r="U126" s="237"/>
      <c r="V126" s="237"/>
      <c r="W126" s="237"/>
      <c r="X126" s="220"/>
      <c r="Y126" s="220"/>
      <c r="Z126" s="237"/>
      <c r="AA126" s="237"/>
      <c r="AB126" s="237"/>
      <c r="AC126" s="237"/>
      <c r="AD126" s="237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</row>
    <row r="127" spans="1:44" s="228" customFormat="1" ht="18" customHeight="1" hidden="1">
      <c r="A127" s="255"/>
      <c r="B127" s="255">
        <v>115</v>
      </c>
      <c r="C127" s="237">
        <f t="shared" si="49"/>
      </c>
      <c r="D127" s="237">
        <f t="shared" si="50"/>
      </c>
      <c r="E127" s="237">
        <f t="shared" si="51"/>
        <v>0</v>
      </c>
      <c r="F127" s="237">
        <f>'Spielereinsatzliste B4'!D38</f>
      </c>
      <c r="G127" s="220">
        <f t="shared" si="40"/>
      </c>
      <c r="H127" s="220">
        <f t="shared" si="41"/>
      </c>
      <c r="I127" s="220"/>
      <c r="J127" s="220"/>
      <c r="K127" s="237"/>
      <c r="L127" s="237"/>
      <c r="M127" s="237"/>
      <c r="N127" s="220"/>
      <c r="O127" s="220"/>
      <c r="P127" s="237"/>
      <c r="Q127" s="237"/>
      <c r="R127" s="237"/>
      <c r="S127" s="220"/>
      <c r="T127" s="220"/>
      <c r="U127" s="237"/>
      <c r="V127" s="237"/>
      <c r="W127" s="237"/>
      <c r="X127" s="220"/>
      <c r="Y127" s="220"/>
      <c r="Z127" s="237"/>
      <c r="AA127" s="237"/>
      <c r="AB127" s="237"/>
      <c r="AC127" s="237"/>
      <c r="AD127" s="237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</row>
    <row r="128" spans="1:44" s="228" customFormat="1" ht="18" customHeight="1" hidden="1">
      <c r="A128" s="255"/>
      <c r="B128" s="255">
        <v>116</v>
      </c>
      <c r="C128" s="237">
        <f t="shared" si="49"/>
        <v>0</v>
      </c>
      <c r="D128" s="237">
        <f t="shared" si="50"/>
        <v>0</v>
      </c>
      <c r="E128" s="237">
        <f t="shared" si="51"/>
        <v>0</v>
      </c>
      <c r="F128" s="237"/>
      <c r="G128" s="220">
        <f t="shared" si="40"/>
      </c>
      <c r="H128" s="220">
        <f t="shared" si="41"/>
      </c>
      <c r="I128" s="220"/>
      <c r="J128" s="220"/>
      <c r="K128" s="237"/>
      <c r="L128" s="237"/>
      <c r="M128" s="237"/>
      <c r="N128" s="220"/>
      <c r="O128" s="220"/>
      <c r="P128" s="237"/>
      <c r="Q128" s="237"/>
      <c r="R128" s="237"/>
      <c r="S128" s="220"/>
      <c r="T128" s="220"/>
      <c r="U128" s="237"/>
      <c r="V128" s="237"/>
      <c r="W128" s="237"/>
      <c r="X128" s="220"/>
      <c r="Y128" s="220"/>
      <c r="Z128" s="237"/>
      <c r="AA128" s="237"/>
      <c r="AB128" s="237"/>
      <c r="AC128" s="237"/>
      <c r="AD128" s="237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</row>
    <row r="129" spans="1:44" s="228" customFormat="1" ht="18" customHeight="1" hidden="1">
      <c r="A129" s="255"/>
      <c r="B129" s="255">
        <v>117</v>
      </c>
      <c r="C129" s="237">
        <f t="shared" si="49"/>
        <v>0</v>
      </c>
      <c r="D129" s="237">
        <f t="shared" si="50"/>
        <v>0</v>
      </c>
      <c r="E129" s="237">
        <f t="shared" si="51"/>
        <v>0</v>
      </c>
      <c r="F129" s="237"/>
      <c r="G129" s="220">
        <f t="shared" si="40"/>
      </c>
      <c r="H129" s="220">
        <f t="shared" si="41"/>
      </c>
      <c r="I129" s="220"/>
      <c r="J129" s="220"/>
      <c r="K129" s="237"/>
      <c r="L129" s="237"/>
      <c r="M129" s="237"/>
      <c r="N129" s="220"/>
      <c r="O129" s="220"/>
      <c r="P129" s="237"/>
      <c r="Q129" s="237"/>
      <c r="R129" s="237"/>
      <c r="S129" s="220"/>
      <c r="T129" s="220"/>
      <c r="U129" s="237"/>
      <c r="V129" s="237"/>
      <c r="W129" s="237"/>
      <c r="X129" s="220"/>
      <c r="Y129" s="220"/>
      <c r="Z129" s="237"/>
      <c r="AA129" s="237"/>
      <c r="AB129" s="237"/>
      <c r="AC129" s="237"/>
      <c r="AD129" s="237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</row>
    <row r="130" spans="1:44" s="228" customFormat="1" ht="18" customHeight="1" hidden="1">
      <c r="A130" s="255"/>
      <c r="B130" s="255"/>
      <c r="C130" s="237"/>
      <c r="D130" s="237"/>
      <c r="E130" s="237"/>
      <c r="F130" s="237"/>
      <c r="G130" s="220">
        <f t="shared" si="40"/>
      </c>
      <c r="H130" s="220">
        <f t="shared" si="41"/>
      </c>
      <c r="I130" s="220"/>
      <c r="J130" s="220"/>
      <c r="K130" s="237"/>
      <c r="L130" s="237"/>
      <c r="M130" s="237"/>
      <c r="N130" s="220"/>
      <c r="O130" s="220"/>
      <c r="P130" s="237"/>
      <c r="Q130" s="237"/>
      <c r="R130" s="237"/>
      <c r="S130" s="220"/>
      <c r="T130" s="220"/>
      <c r="U130" s="237"/>
      <c r="V130" s="237"/>
      <c r="W130" s="237"/>
      <c r="X130" s="220"/>
      <c r="Y130" s="220"/>
      <c r="Z130" s="237"/>
      <c r="AA130" s="237"/>
      <c r="AB130" s="237"/>
      <c r="AC130" s="237"/>
      <c r="AD130" s="237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</row>
    <row r="131" spans="1:44" s="228" customFormat="1" ht="18" customHeight="1" hidden="1">
      <c r="A131" s="255"/>
      <c r="B131" s="255">
        <v>118</v>
      </c>
      <c r="C131" s="237">
        <f>X148</f>
      </c>
      <c r="D131" s="237">
        <f>Y148</f>
        <v>0</v>
      </c>
      <c r="E131" s="237">
        <f>Z148</f>
        <v>0</v>
      </c>
      <c r="F131" s="237">
        <f>'Spielereinsatzliste B5'!D29</f>
      </c>
      <c r="G131" s="220">
        <f t="shared" si="40"/>
      </c>
      <c r="H131" s="220">
        <f t="shared" si="41"/>
      </c>
      <c r="I131" s="220"/>
      <c r="J131" s="220"/>
      <c r="K131" s="237"/>
      <c r="L131" s="237"/>
      <c r="M131" s="237"/>
      <c r="N131" s="220"/>
      <c r="O131" s="220"/>
      <c r="P131" s="237"/>
      <c r="Q131" s="237"/>
      <c r="R131" s="237"/>
      <c r="S131" s="220"/>
      <c r="T131" s="220"/>
      <c r="U131" s="237"/>
      <c r="V131" s="237"/>
      <c r="W131" s="237"/>
      <c r="X131" s="220"/>
      <c r="Y131" s="220"/>
      <c r="Z131" s="237"/>
      <c r="AA131" s="237"/>
      <c r="AB131" s="237"/>
      <c r="AC131" s="237"/>
      <c r="AD131" s="237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</row>
    <row r="132" spans="1:44" s="228" customFormat="1" ht="18" customHeight="1" hidden="1">
      <c r="A132" s="255"/>
      <c r="B132" s="255">
        <v>119</v>
      </c>
      <c r="C132" s="237">
        <f aca="true" t="shared" si="52" ref="C132:C142">X149</f>
      </c>
      <c r="D132" s="237">
        <f aca="true" t="shared" si="53" ref="D132:D142">Y149</f>
      </c>
      <c r="E132" s="237">
        <f aca="true" t="shared" si="54" ref="E132:E142">Z149</f>
        <v>0</v>
      </c>
      <c r="F132" s="237">
        <f>'Spielereinsatzliste B5'!D30</f>
      </c>
      <c r="G132" s="220">
        <f t="shared" si="40"/>
      </c>
      <c r="H132" s="220">
        <f t="shared" si="41"/>
      </c>
      <c r="I132" s="220"/>
      <c r="J132" s="220"/>
      <c r="K132" s="237"/>
      <c r="L132" s="237"/>
      <c r="M132" s="237"/>
      <c r="N132" s="220"/>
      <c r="O132" s="220"/>
      <c r="P132" s="237"/>
      <c r="Q132" s="237"/>
      <c r="R132" s="237"/>
      <c r="S132" s="220"/>
      <c r="T132" s="220"/>
      <c r="U132" s="237"/>
      <c r="V132" s="237"/>
      <c r="W132" s="237"/>
      <c r="X132" s="220"/>
      <c r="Y132" s="220"/>
      <c r="Z132" s="237"/>
      <c r="AA132" s="237"/>
      <c r="AB132" s="237"/>
      <c r="AC132" s="237"/>
      <c r="AD132" s="237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</row>
    <row r="133" spans="1:44" s="228" customFormat="1" ht="18" customHeight="1" hidden="1">
      <c r="A133" s="255"/>
      <c r="B133" s="255">
        <v>120</v>
      </c>
      <c r="C133" s="237">
        <f t="shared" si="52"/>
      </c>
      <c r="D133" s="237">
        <f t="shared" si="53"/>
      </c>
      <c r="E133" s="237">
        <f t="shared" si="54"/>
        <v>0</v>
      </c>
      <c r="F133" s="237">
        <f>'Spielereinsatzliste B5'!D31</f>
      </c>
      <c r="G133" s="220">
        <f t="shared" si="40"/>
      </c>
      <c r="H133" s="220">
        <f t="shared" si="41"/>
      </c>
      <c r="I133" s="220"/>
      <c r="J133" s="220"/>
      <c r="K133" s="237"/>
      <c r="L133" s="237"/>
      <c r="M133" s="237"/>
      <c r="N133" s="220"/>
      <c r="O133" s="220"/>
      <c r="P133" s="237"/>
      <c r="Q133" s="237"/>
      <c r="R133" s="237"/>
      <c r="S133" s="220"/>
      <c r="T133" s="220"/>
      <c r="U133" s="237"/>
      <c r="V133" s="237"/>
      <c r="W133" s="237"/>
      <c r="X133" s="220"/>
      <c r="Y133" s="220"/>
      <c r="Z133" s="237"/>
      <c r="AA133" s="237"/>
      <c r="AB133" s="237"/>
      <c r="AC133" s="237"/>
      <c r="AD133" s="237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</row>
    <row r="134" spans="1:44" s="228" customFormat="1" ht="18" customHeight="1" hidden="1">
      <c r="A134" s="255"/>
      <c r="B134" s="255">
        <v>121</v>
      </c>
      <c r="C134" s="237">
        <f t="shared" si="52"/>
      </c>
      <c r="D134" s="237">
        <f t="shared" si="53"/>
      </c>
      <c r="E134" s="237">
        <f t="shared" si="54"/>
        <v>0</v>
      </c>
      <c r="F134" s="237">
        <f>'Spielereinsatzliste B5'!D32</f>
      </c>
      <c r="G134" s="220">
        <f t="shared" si="40"/>
      </c>
      <c r="H134" s="220">
        <f t="shared" si="41"/>
      </c>
      <c r="I134" s="220"/>
      <c r="J134" s="220"/>
      <c r="K134" s="237"/>
      <c r="L134" s="237"/>
      <c r="M134" s="237"/>
      <c r="N134" s="220"/>
      <c r="O134" s="220"/>
      <c r="P134" s="237"/>
      <c r="Q134" s="237"/>
      <c r="R134" s="237"/>
      <c r="S134" s="220"/>
      <c r="T134" s="220"/>
      <c r="U134" s="237"/>
      <c r="V134" s="237"/>
      <c r="W134" s="237"/>
      <c r="X134" s="220"/>
      <c r="Y134" s="220"/>
      <c r="Z134" s="237"/>
      <c r="AA134" s="237"/>
      <c r="AB134" s="237"/>
      <c r="AC134" s="237"/>
      <c r="AD134" s="237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</row>
    <row r="135" spans="1:44" s="228" customFormat="1" ht="18" customHeight="1" hidden="1">
      <c r="A135" s="255"/>
      <c r="B135" s="255">
        <v>122</v>
      </c>
      <c r="C135" s="237">
        <f t="shared" si="52"/>
      </c>
      <c r="D135" s="237">
        <f t="shared" si="53"/>
      </c>
      <c r="E135" s="237">
        <f t="shared" si="54"/>
        <v>0</v>
      </c>
      <c r="F135" s="237">
        <f>'Spielereinsatzliste B5'!D33</f>
      </c>
      <c r="G135" s="220">
        <f t="shared" si="40"/>
      </c>
      <c r="H135" s="220">
        <f t="shared" si="41"/>
      </c>
      <c r="I135" s="220"/>
      <c r="J135" s="220"/>
      <c r="K135" s="237"/>
      <c r="L135" s="237"/>
      <c r="M135" s="237"/>
      <c r="N135" s="220"/>
      <c r="O135" s="220"/>
      <c r="P135" s="237"/>
      <c r="Q135" s="237"/>
      <c r="R135" s="237"/>
      <c r="S135" s="220"/>
      <c r="T135" s="220"/>
      <c r="U135" s="237"/>
      <c r="V135" s="237"/>
      <c r="W135" s="237"/>
      <c r="X135" s="220"/>
      <c r="Y135" s="220"/>
      <c r="Z135" s="237"/>
      <c r="AA135" s="237"/>
      <c r="AB135" s="237"/>
      <c r="AC135" s="237"/>
      <c r="AD135" s="237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</row>
    <row r="136" spans="1:44" s="228" customFormat="1" ht="18" customHeight="1" hidden="1">
      <c r="A136" s="256"/>
      <c r="B136" s="255">
        <v>123</v>
      </c>
      <c r="C136" s="237">
        <f t="shared" si="52"/>
        <v>0</v>
      </c>
      <c r="D136" s="237">
        <f t="shared" si="53"/>
      </c>
      <c r="E136" s="237">
        <f t="shared" si="54"/>
        <v>0</v>
      </c>
      <c r="F136" s="237">
        <f>'Spielereinsatzliste B5'!D34</f>
      </c>
      <c r="G136" s="220">
        <f t="shared" si="40"/>
      </c>
      <c r="H136" s="220">
        <f t="shared" si="41"/>
      </c>
      <c r="I136" s="220"/>
      <c r="J136" s="220"/>
      <c r="K136" s="257"/>
      <c r="L136" s="257"/>
      <c r="M136" s="257"/>
      <c r="N136" s="258"/>
      <c r="O136" s="258"/>
      <c r="P136" s="257"/>
      <c r="Q136" s="257"/>
      <c r="R136" s="257"/>
      <c r="S136" s="220"/>
      <c r="T136" s="258"/>
      <c r="V136" s="254"/>
      <c r="W136" s="254"/>
      <c r="X136" s="229"/>
      <c r="Y136" s="229"/>
      <c r="AR136" s="254"/>
    </row>
    <row r="137" spans="1:44" s="228" customFormat="1" ht="18" customHeight="1" hidden="1">
      <c r="A137" s="256"/>
      <c r="B137" s="255">
        <v>124</v>
      </c>
      <c r="C137" s="237">
        <f t="shared" si="52"/>
        <v>0</v>
      </c>
      <c r="D137" s="237">
        <f t="shared" si="53"/>
      </c>
      <c r="E137" s="237">
        <f t="shared" si="54"/>
        <v>0</v>
      </c>
      <c r="F137" s="237">
        <f>'Spielereinsatzliste B5'!D35</f>
      </c>
      <c r="G137" s="220">
        <f t="shared" si="40"/>
      </c>
      <c r="H137" s="220">
        <f t="shared" si="41"/>
      </c>
      <c r="I137" s="220"/>
      <c r="J137" s="220"/>
      <c r="K137" s="257"/>
      <c r="L137" s="257"/>
      <c r="M137" s="257"/>
      <c r="N137" s="258"/>
      <c r="O137" s="258"/>
      <c r="P137" s="257"/>
      <c r="Q137" s="257"/>
      <c r="R137" s="257"/>
      <c r="S137" s="258"/>
      <c r="T137" s="258"/>
      <c r="V137" s="254"/>
      <c r="W137" s="254"/>
      <c r="X137" s="229"/>
      <c r="Y137" s="229"/>
      <c r="AR137" s="254"/>
    </row>
    <row r="138" spans="1:44" s="228" customFormat="1" ht="18" customHeight="1" hidden="1">
      <c r="A138" s="256"/>
      <c r="B138" s="255">
        <v>125</v>
      </c>
      <c r="C138" s="237">
        <f t="shared" si="52"/>
      </c>
      <c r="D138" s="237">
        <f t="shared" si="53"/>
      </c>
      <c r="E138" s="237">
        <f t="shared" si="54"/>
        <v>0</v>
      </c>
      <c r="F138" s="237">
        <f>'Spielereinsatzliste B5'!D36</f>
      </c>
      <c r="G138" s="220">
        <f t="shared" si="40"/>
      </c>
      <c r="H138" s="220">
        <f t="shared" si="41"/>
      </c>
      <c r="I138" s="220"/>
      <c r="J138" s="220"/>
      <c r="K138" s="257"/>
      <c r="L138" s="257"/>
      <c r="M138" s="257"/>
      <c r="N138" s="258"/>
      <c r="O138" s="258"/>
      <c r="P138" s="257"/>
      <c r="Q138" s="257"/>
      <c r="R138" s="257"/>
      <c r="S138" s="258"/>
      <c r="T138" s="258"/>
      <c r="V138" s="254"/>
      <c r="W138" s="254"/>
      <c r="X138" s="229"/>
      <c r="Y138" s="229"/>
      <c r="AR138" s="254"/>
    </row>
    <row r="139" spans="1:44" s="228" customFormat="1" ht="18" customHeight="1" hidden="1">
      <c r="A139" s="256"/>
      <c r="B139" s="255">
        <v>126</v>
      </c>
      <c r="C139" s="237">
        <f t="shared" si="52"/>
      </c>
      <c r="D139" s="237">
        <f t="shared" si="53"/>
      </c>
      <c r="E139" s="237">
        <f t="shared" si="54"/>
        <v>0</v>
      </c>
      <c r="F139" s="237">
        <f>'Spielereinsatzliste B5'!D37</f>
      </c>
      <c r="G139" s="220">
        <f t="shared" si="40"/>
      </c>
      <c r="H139" s="220">
        <f t="shared" si="41"/>
      </c>
      <c r="I139" s="220"/>
      <c r="J139" s="220"/>
      <c r="K139" s="257"/>
      <c r="L139" s="257"/>
      <c r="M139" s="257"/>
      <c r="N139" s="258"/>
      <c r="O139" s="258"/>
      <c r="P139" s="257"/>
      <c r="Q139" s="257"/>
      <c r="R139" s="257"/>
      <c r="S139" s="258"/>
      <c r="T139" s="258"/>
      <c r="V139" s="254"/>
      <c r="W139" s="254"/>
      <c r="X139" s="229"/>
      <c r="Y139" s="229"/>
      <c r="AR139" s="254"/>
    </row>
    <row r="140" spans="1:44" s="228" customFormat="1" ht="18" customHeight="1" hidden="1">
      <c r="A140" s="256"/>
      <c r="B140" s="255">
        <v>127</v>
      </c>
      <c r="C140" s="237">
        <f t="shared" si="52"/>
      </c>
      <c r="D140" s="237">
        <f t="shared" si="53"/>
      </c>
      <c r="E140" s="237">
        <f t="shared" si="54"/>
        <v>0</v>
      </c>
      <c r="F140" s="237">
        <f>'Spielereinsatzliste B5'!D38</f>
      </c>
      <c r="G140" s="220">
        <f t="shared" si="40"/>
      </c>
      <c r="H140" s="220">
        <f t="shared" si="41"/>
      </c>
      <c r="I140" s="220">
        <f>IF(F140="","",RANK(F140,F$27:F$140,1))</f>
      </c>
      <c r="J140" s="220"/>
      <c r="K140" s="257"/>
      <c r="L140" s="257"/>
      <c r="M140" s="257"/>
      <c r="N140" s="258"/>
      <c r="O140" s="258"/>
      <c r="P140" s="257"/>
      <c r="Q140" s="257"/>
      <c r="R140" s="257"/>
      <c r="S140" s="258"/>
      <c r="T140" s="258"/>
      <c r="V140" s="254"/>
      <c r="W140" s="254"/>
      <c r="X140" s="229"/>
      <c r="Y140" s="229"/>
      <c r="AR140" s="254"/>
    </row>
    <row r="141" spans="1:44" s="228" customFormat="1" ht="18" customHeight="1" hidden="1">
      <c r="A141" s="256"/>
      <c r="B141" s="255">
        <v>128</v>
      </c>
      <c r="C141" s="237">
        <f t="shared" si="52"/>
        <v>0</v>
      </c>
      <c r="D141" s="237">
        <f t="shared" si="53"/>
        <v>0</v>
      </c>
      <c r="E141" s="237">
        <f t="shared" si="54"/>
        <v>0</v>
      </c>
      <c r="F141" s="237"/>
      <c r="G141" s="237"/>
      <c r="H141" s="237"/>
      <c r="I141" s="220"/>
      <c r="J141" s="220"/>
      <c r="K141" s="257"/>
      <c r="L141" s="257"/>
      <c r="M141" s="257"/>
      <c r="N141" s="258"/>
      <c r="O141" s="258"/>
      <c r="P141" s="257"/>
      <c r="Q141" s="257"/>
      <c r="R141" s="257"/>
      <c r="S141" s="258"/>
      <c r="T141" s="258"/>
      <c r="V141" s="254"/>
      <c r="W141" s="254"/>
      <c r="X141" s="229"/>
      <c r="Y141" s="229"/>
      <c r="AR141" s="254"/>
    </row>
    <row r="142" spans="1:44" s="228" customFormat="1" ht="18" customHeight="1" hidden="1">
      <c r="A142" s="256"/>
      <c r="B142" s="255">
        <v>129</v>
      </c>
      <c r="C142" s="237">
        <f t="shared" si="52"/>
        <v>0</v>
      </c>
      <c r="D142" s="237">
        <f t="shared" si="53"/>
        <v>0</v>
      </c>
      <c r="E142" s="237">
        <f t="shared" si="54"/>
        <v>0</v>
      </c>
      <c r="F142" s="237"/>
      <c r="G142" s="237"/>
      <c r="H142" s="237"/>
      <c r="I142" s="220"/>
      <c r="J142" s="220"/>
      <c r="K142" s="257"/>
      <c r="L142" s="257"/>
      <c r="M142" s="257"/>
      <c r="N142" s="258"/>
      <c r="O142" s="258"/>
      <c r="P142" s="257"/>
      <c r="Q142" s="257"/>
      <c r="R142" s="257"/>
      <c r="S142" s="258"/>
      <c r="T142" s="258"/>
      <c r="V142" s="254"/>
      <c r="W142" s="254"/>
      <c r="X142" s="229"/>
      <c r="Y142" s="229"/>
      <c r="AR142" s="254"/>
    </row>
    <row r="143" spans="1:44" s="234" customFormat="1" ht="15" customHeight="1" thickBot="1">
      <c r="A143" s="708" t="s">
        <v>6</v>
      </c>
      <c r="B143" s="708"/>
      <c r="C143" s="708"/>
      <c r="D143" s="708"/>
      <c r="E143" s="708"/>
      <c r="F143" s="708"/>
      <c r="G143" s="708"/>
      <c r="H143" s="708"/>
      <c r="I143" s="709"/>
      <c r="J143" s="709"/>
      <c r="K143" s="708"/>
      <c r="L143" s="708"/>
      <c r="M143" s="708"/>
      <c r="N143" s="709"/>
      <c r="O143" s="709"/>
      <c r="P143" s="708"/>
      <c r="Q143" s="708"/>
      <c r="R143" s="708"/>
      <c r="S143" s="709"/>
      <c r="T143" s="709"/>
      <c r="U143" s="708"/>
      <c r="V143" s="708"/>
      <c r="W143" s="708"/>
      <c r="X143" s="709"/>
      <c r="Y143" s="709"/>
      <c r="Z143" s="708"/>
      <c r="AA143" s="605"/>
      <c r="AB143" s="605"/>
      <c r="AC143" s="237"/>
      <c r="AD143" s="237"/>
      <c r="AE143" s="230"/>
      <c r="AF143" s="228"/>
      <c r="AG143" s="228"/>
      <c r="AH143" s="230"/>
      <c r="AI143" s="228"/>
      <c r="AJ143" s="228"/>
      <c r="AK143" s="230"/>
      <c r="AL143" s="228"/>
      <c r="AM143" s="228"/>
      <c r="AN143" s="230"/>
      <c r="AO143" s="228"/>
      <c r="AP143" s="228"/>
      <c r="AQ143" s="230"/>
      <c r="AR143" s="247"/>
    </row>
    <row r="144" spans="1:44" s="234" customFormat="1" ht="12.75" customHeight="1" thickBot="1" thickTop="1">
      <c r="A144" s="705" t="s">
        <v>102</v>
      </c>
      <c r="B144" s="259"/>
      <c r="C144" s="702" t="s">
        <v>102</v>
      </c>
      <c r="D144" s="703"/>
      <c r="E144" s="704"/>
      <c r="F144" s="603"/>
      <c r="G144" s="603"/>
      <c r="H144" s="603"/>
      <c r="I144" s="702" t="s">
        <v>102</v>
      </c>
      <c r="J144" s="703"/>
      <c r="K144" s="704"/>
      <c r="L144" s="603"/>
      <c r="M144" s="603"/>
      <c r="N144" s="702" t="s">
        <v>102</v>
      </c>
      <c r="O144" s="703"/>
      <c r="P144" s="704"/>
      <c r="Q144" s="603"/>
      <c r="R144" s="603"/>
      <c r="S144" s="702" t="s">
        <v>102</v>
      </c>
      <c r="T144" s="703"/>
      <c r="U144" s="704"/>
      <c r="V144" s="603"/>
      <c r="W144" s="603"/>
      <c r="X144" s="702" t="s">
        <v>102</v>
      </c>
      <c r="Y144" s="703"/>
      <c r="Z144" s="704"/>
      <c r="AA144" s="620"/>
      <c r="AB144" s="620"/>
      <c r="AC144" s="237"/>
      <c r="AD144" s="237"/>
      <c r="AE144" s="230"/>
      <c r="AF144" s="228"/>
      <c r="AG144" s="228"/>
      <c r="AH144" s="230"/>
      <c r="AI144" s="228"/>
      <c r="AJ144" s="228"/>
      <c r="AK144" s="230"/>
      <c r="AL144" s="228"/>
      <c r="AM144" s="228"/>
      <c r="AN144" s="230"/>
      <c r="AO144" s="228"/>
      <c r="AP144" s="228"/>
      <c r="AQ144" s="230"/>
      <c r="AR144" s="247"/>
    </row>
    <row r="145" spans="1:44" s="234" customFormat="1" ht="12.75" customHeight="1" thickTop="1">
      <c r="A145" s="706"/>
      <c r="B145" s="260"/>
      <c r="C145" s="687" t="s">
        <v>351</v>
      </c>
      <c r="D145" s="688"/>
      <c r="E145" s="689"/>
      <c r="F145" s="604"/>
      <c r="G145" s="604"/>
      <c r="H145" s="604"/>
      <c r="I145" s="687" t="s">
        <v>313</v>
      </c>
      <c r="J145" s="688"/>
      <c r="K145" s="689"/>
      <c r="L145" s="604"/>
      <c r="M145" s="604"/>
      <c r="N145" s="687" t="s">
        <v>368</v>
      </c>
      <c r="O145" s="688"/>
      <c r="P145" s="689"/>
      <c r="Q145" s="604"/>
      <c r="R145" s="604"/>
      <c r="S145" s="687" t="s">
        <v>352</v>
      </c>
      <c r="T145" s="688"/>
      <c r="U145" s="689"/>
      <c r="V145" s="604"/>
      <c r="W145" s="604"/>
      <c r="X145" s="687" t="s">
        <v>350</v>
      </c>
      <c r="Y145" s="688"/>
      <c r="Z145" s="689"/>
      <c r="AA145" s="621"/>
      <c r="AB145" s="621"/>
      <c r="AC145" s="237"/>
      <c r="AD145" s="237"/>
      <c r="AE145" s="230"/>
      <c r="AF145" s="228"/>
      <c r="AG145" s="228"/>
      <c r="AH145" s="230"/>
      <c r="AI145" s="228"/>
      <c r="AJ145" s="228"/>
      <c r="AK145" s="230"/>
      <c r="AL145" s="228"/>
      <c r="AM145" s="228"/>
      <c r="AN145" s="230"/>
      <c r="AO145" s="228"/>
      <c r="AP145" s="228"/>
      <c r="AQ145" s="230"/>
      <c r="AR145" s="247"/>
    </row>
    <row r="146" spans="1:44" s="184" customFormat="1" ht="12.75" customHeight="1" thickBot="1">
      <c r="A146" s="707"/>
      <c r="B146" s="243"/>
      <c r="C146" s="683" t="s">
        <v>366</v>
      </c>
      <c r="D146" s="684"/>
      <c r="E146" s="685"/>
      <c r="F146" s="599"/>
      <c r="G146" s="599" t="e">
        <f>S35</f>
        <v>#VALUE!</v>
      </c>
      <c r="H146" s="599" t="e">
        <f>T35</f>
        <v>#VALUE!</v>
      </c>
      <c r="I146" s="683" t="s">
        <v>363</v>
      </c>
      <c r="J146" s="684"/>
      <c r="K146" s="685"/>
      <c r="L146" s="599" t="e">
        <f>S36</f>
        <v>#VALUE!</v>
      </c>
      <c r="M146" s="599" t="e">
        <f>T36</f>
        <v>#VALUE!</v>
      </c>
      <c r="N146" s="683" t="s">
        <v>370</v>
      </c>
      <c r="O146" s="684"/>
      <c r="P146" s="685"/>
      <c r="Q146" s="599" t="e">
        <f>S37</f>
        <v>#VALUE!</v>
      </c>
      <c r="R146" s="599" t="e">
        <f>T37</f>
        <v>#VALUE!</v>
      </c>
      <c r="S146" s="683" t="s">
        <v>371</v>
      </c>
      <c r="T146" s="684"/>
      <c r="U146" s="685"/>
      <c r="V146" s="599" t="e">
        <f>S38</f>
        <v>#VALUE!</v>
      </c>
      <c r="W146" s="599" t="e">
        <f>T38</f>
        <v>#VALUE!</v>
      </c>
      <c r="X146" s="683" t="s">
        <v>380</v>
      </c>
      <c r="Y146" s="684"/>
      <c r="Z146" s="685"/>
      <c r="AA146" s="625" t="e">
        <f>S39</f>
        <v>#VALUE!</v>
      </c>
      <c r="AB146" s="625" t="e">
        <f>T39</f>
        <v>#VALUE!</v>
      </c>
      <c r="AC146" s="237"/>
      <c r="AD146" s="237"/>
      <c r="AE146" s="230"/>
      <c r="AF146" s="228"/>
      <c r="AG146" s="228"/>
      <c r="AH146" s="230"/>
      <c r="AI146" s="228"/>
      <c r="AJ146" s="228"/>
      <c r="AK146" s="230"/>
      <c r="AL146" s="228"/>
      <c r="AM146" s="228"/>
      <c r="AN146" s="230"/>
      <c r="AO146" s="228"/>
      <c r="AP146" s="228"/>
      <c r="AQ146" s="230"/>
      <c r="AR146" s="247"/>
    </row>
    <row r="147" spans="1:44" s="234" customFormat="1" ht="12.75" customHeight="1" thickBot="1" thickTop="1">
      <c r="A147" s="699" t="s">
        <v>37</v>
      </c>
      <c r="B147" s="241"/>
      <c r="C147" s="159" t="s">
        <v>105</v>
      </c>
      <c r="D147" s="160" t="s">
        <v>18</v>
      </c>
      <c r="E147" s="161" t="s">
        <v>106</v>
      </c>
      <c r="F147" s="609"/>
      <c r="G147" s="609"/>
      <c r="H147" s="609"/>
      <c r="I147" s="159" t="s">
        <v>105</v>
      </c>
      <c r="J147" s="160" t="s">
        <v>18</v>
      </c>
      <c r="K147" s="161" t="s">
        <v>106</v>
      </c>
      <c r="L147" s="609"/>
      <c r="M147" s="609"/>
      <c r="N147" s="159" t="s">
        <v>105</v>
      </c>
      <c r="O147" s="160" t="s">
        <v>18</v>
      </c>
      <c r="P147" s="161" t="s">
        <v>106</v>
      </c>
      <c r="Q147" s="609"/>
      <c r="R147" s="609"/>
      <c r="S147" s="159" t="s">
        <v>105</v>
      </c>
      <c r="T147" s="160" t="s">
        <v>18</v>
      </c>
      <c r="U147" s="161" t="s">
        <v>106</v>
      </c>
      <c r="V147" s="609"/>
      <c r="W147" s="609"/>
      <c r="X147" s="159" t="s">
        <v>105</v>
      </c>
      <c r="Y147" s="160" t="s">
        <v>18</v>
      </c>
      <c r="Z147" s="161" t="s">
        <v>106</v>
      </c>
      <c r="AA147" s="622"/>
      <c r="AB147" s="622"/>
      <c r="AC147" s="220"/>
      <c r="AD147" s="220"/>
      <c r="AF147" s="261"/>
      <c r="AG147" s="261"/>
      <c r="AI147" s="261"/>
      <c r="AJ147" s="261"/>
      <c r="AL147" s="261"/>
      <c r="AM147" s="261"/>
      <c r="AO147" s="261"/>
      <c r="AP147" s="261"/>
      <c r="AR147" s="242"/>
    </row>
    <row r="148" spans="1:44" s="184" customFormat="1" ht="12.75" customHeight="1">
      <c r="A148" s="700"/>
      <c r="B148" s="262"/>
      <c r="C148" s="145">
        <f>IF('Spielereinsatzliste B1'!B15="","",'Spielereinsatzliste B1'!B15)</f>
      </c>
      <c r="D148" s="146"/>
      <c r="E148" s="657"/>
      <c r="F148" s="645"/>
      <c r="G148" s="636">
        <f aca="true" t="shared" si="55" ref="G148:H157">G79</f>
      </c>
      <c r="H148" s="637">
        <f t="shared" si="55"/>
      </c>
      <c r="I148" s="145">
        <f>IF('Spielereinsatzliste B2'!B15="","",'Spielereinsatzliste B2'!B15)</f>
      </c>
      <c r="J148" s="146"/>
      <c r="K148" s="657"/>
      <c r="L148" s="636">
        <f aca="true" t="shared" si="56" ref="L148:L157">G92</f>
      </c>
      <c r="M148" s="637">
        <f aca="true" t="shared" si="57" ref="M148:M157">H92</f>
      </c>
      <c r="N148" s="146">
        <f>IF('Spielereinsatzliste B3'!B15="","",'Spielereinsatzliste B3'!B15)</f>
      </c>
      <c r="O148" s="146"/>
      <c r="P148" s="657"/>
      <c r="Q148" s="636">
        <f aca="true" t="shared" si="58" ref="Q148:Q157">G105</f>
      </c>
      <c r="R148" s="637">
        <f aca="true" t="shared" si="59" ref="R148:R157">H105</f>
      </c>
      <c r="S148" s="145">
        <f>IF('Spielereinsatzliste B4'!B15="","",'Spielereinsatzliste B4'!B15)</f>
      </c>
      <c r="T148" s="146"/>
      <c r="U148" s="657"/>
      <c r="V148" s="636">
        <f aca="true" t="shared" si="60" ref="V148:V157">G118</f>
      </c>
      <c r="W148" s="637">
        <f aca="true" t="shared" si="61" ref="W148:W157">H118</f>
      </c>
      <c r="X148" s="145">
        <f>IF('Spielereinsatzliste B5'!B15="","",'Spielereinsatzliste B5'!B15)</f>
      </c>
      <c r="Y148" s="146"/>
      <c r="Z148" s="657"/>
      <c r="AA148" s="636">
        <f aca="true" t="shared" si="62" ref="AA148:AA157">G131</f>
      </c>
      <c r="AB148" s="637">
        <f aca="true" t="shared" si="63" ref="AB148:AB157">H131</f>
      </c>
      <c r="AC148" s="237"/>
      <c r="AD148" s="237"/>
      <c r="AE148" s="230"/>
      <c r="AF148" s="228"/>
      <c r="AG148" s="228"/>
      <c r="AH148" s="230"/>
      <c r="AI148" s="228"/>
      <c r="AJ148" s="228"/>
      <c r="AK148" s="230"/>
      <c r="AL148" s="228"/>
      <c r="AM148" s="228"/>
      <c r="AN148" s="230"/>
      <c r="AO148" s="228"/>
      <c r="AP148" s="228"/>
      <c r="AQ148" s="230"/>
      <c r="AR148" s="619"/>
    </row>
    <row r="149" spans="1:44" s="184" customFormat="1" ht="12.75" customHeight="1">
      <c r="A149" s="700"/>
      <c r="B149" s="263"/>
      <c r="C149" s="148">
        <f>IF('Spielereinsatzliste B1'!B16="","",'Spielereinsatzliste B1'!B16)</f>
      </c>
      <c r="D149" s="149">
        <f>IF('Spielereinsatzliste B1'!C16="","",'Spielereinsatzliste B1'!C16)</f>
      </c>
      <c r="E149" s="658"/>
      <c r="F149" s="646"/>
      <c r="G149" s="638">
        <f t="shared" si="55"/>
      </c>
      <c r="H149" s="639">
        <f t="shared" si="55"/>
      </c>
      <c r="I149" s="148">
        <f>IF('Spielereinsatzliste B2'!B16="","",'Spielereinsatzliste B2'!B16)</f>
      </c>
      <c r="J149" s="149">
        <f>IF('Spielereinsatzliste B2'!C16="","",'Spielereinsatzliste B2'!C16)</f>
      </c>
      <c r="K149" s="658"/>
      <c r="L149" s="638">
        <f t="shared" si="56"/>
      </c>
      <c r="M149" s="639">
        <f t="shared" si="57"/>
      </c>
      <c r="N149" s="149">
        <f>IF('Spielereinsatzliste B3'!B16="","",'Spielereinsatzliste B3'!B16)</f>
      </c>
      <c r="O149" s="149">
        <f>IF('Spielereinsatzliste B3'!C16="","",'Spielereinsatzliste B3'!C16)</f>
      </c>
      <c r="P149" s="658"/>
      <c r="Q149" s="638">
        <f t="shared" si="58"/>
      </c>
      <c r="R149" s="639">
        <f t="shared" si="59"/>
      </c>
      <c r="S149" s="148">
        <f>IF('Spielereinsatzliste B4'!B16="","",'Spielereinsatzliste B4'!B16)</f>
      </c>
      <c r="T149" s="149">
        <f>IF('Spielereinsatzliste B4'!C16="","",'Spielereinsatzliste B4'!C16)</f>
      </c>
      <c r="U149" s="658"/>
      <c r="V149" s="638">
        <f t="shared" si="60"/>
      </c>
      <c r="W149" s="639">
        <f t="shared" si="61"/>
      </c>
      <c r="X149" s="148">
        <f>IF('Spielereinsatzliste B5'!B16="","",'Spielereinsatzliste B5'!B16)</f>
      </c>
      <c r="Y149" s="149">
        <f>IF('Spielereinsatzliste B5'!C16="","",'Spielereinsatzliste B5'!C16)</f>
      </c>
      <c r="Z149" s="658"/>
      <c r="AA149" s="638">
        <f t="shared" si="62"/>
      </c>
      <c r="AB149" s="639">
        <f t="shared" si="63"/>
      </c>
      <c r="AC149" s="237"/>
      <c r="AD149" s="237"/>
      <c r="AE149" s="230"/>
      <c r="AF149" s="228"/>
      <c r="AG149" s="228"/>
      <c r="AH149" s="230"/>
      <c r="AI149" s="228"/>
      <c r="AJ149" s="228"/>
      <c r="AK149" s="230"/>
      <c r="AL149" s="228"/>
      <c r="AM149" s="228"/>
      <c r="AN149" s="230"/>
      <c r="AO149" s="228"/>
      <c r="AP149" s="228"/>
      <c r="AQ149" s="230"/>
      <c r="AR149" s="619"/>
    </row>
    <row r="150" spans="1:44" s="184" customFormat="1" ht="12.75" customHeight="1">
      <c r="A150" s="700"/>
      <c r="B150" s="263"/>
      <c r="C150" s="148">
        <f>IF('Spielereinsatzliste B1'!B17="","",'Spielereinsatzliste B1'!B17)</f>
      </c>
      <c r="D150" s="149">
        <f>IF('Spielereinsatzliste B1'!C17="","",'Spielereinsatzliste B1'!C17)</f>
      </c>
      <c r="E150" s="658"/>
      <c r="F150" s="646"/>
      <c r="G150" s="638">
        <f t="shared" si="55"/>
      </c>
      <c r="H150" s="639">
        <f t="shared" si="55"/>
      </c>
      <c r="I150" s="148">
        <f>IF('Spielereinsatzliste B2'!B17="","",'Spielereinsatzliste B2'!B17)</f>
      </c>
      <c r="J150" s="149">
        <f>IF('Spielereinsatzliste B2'!C17="","",'Spielereinsatzliste B2'!C17)</f>
      </c>
      <c r="K150" s="658"/>
      <c r="L150" s="638">
        <f t="shared" si="56"/>
      </c>
      <c r="M150" s="639">
        <f t="shared" si="57"/>
      </c>
      <c r="N150" s="149">
        <f>IF('Spielereinsatzliste B3'!B17="","",'Spielereinsatzliste B3'!B17)</f>
      </c>
      <c r="O150" s="149">
        <f>IF('Spielereinsatzliste B3'!C17="","",'Spielereinsatzliste B3'!C17)</f>
      </c>
      <c r="P150" s="658"/>
      <c r="Q150" s="638">
        <f t="shared" si="58"/>
      </c>
      <c r="R150" s="639">
        <f t="shared" si="59"/>
      </c>
      <c r="S150" s="148">
        <f>IF('Spielereinsatzliste B4'!B17="","",'Spielereinsatzliste B4'!B17)</f>
      </c>
      <c r="T150" s="149">
        <f>IF('Spielereinsatzliste B4'!C17="","",'Spielereinsatzliste B4'!C17)</f>
      </c>
      <c r="U150" s="658"/>
      <c r="V150" s="638">
        <f t="shared" si="60"/>
      </c>
      <c r="W150" s="639">
        <f t="shared" si="61"/>
      </c>
      <c r="X150" s="148">
        <f>IF('Spielereinsatzliste B5'!B17="","",'Spielereinsatzliste B5'!B17)</f>
      </c>
      <c r="Y150" s="149">
        <f>IF('Spielereinsatzliste B5'!C17="","",'Spielereinsatzliste B5'!C17)</f>
      </c>
      <c r="Z150" s="658"/>
      <c r="AA150" s="638">
        <f t="shared" si="62"/>
      </c>
      <c r="AB150" s="639">
        <f t="shared" si="63"/>
      </c>
      <c r="AC150" s="237"/>
      <c r="AD150" s="237"/>
      <c r="AE150" s="230"/>
      <c r="AF150" s="228"/>
      <c r="AG150" s="228"/>
      <c r="AH150" s="230"/>
      <c r="AI150" s="228"/>
      <c r="AJ150" s="228"/>
      <c r="AK150" s="230"/>
      <c r="AL150" s="228"/>
      <c r="AM150" s="228"/>
      <c r="AN150" s="230"/>
      <c r="AO150" s="228"/>
      <c r="AP150" s="228"/>
      <c r="AQ150" s="230"/>
      <c r="AR150" s="619"/>
    </row>
    <row r="151" spans="1:44" s="184" customFormat="1" ht="12.75" customHeight="1">
      <c r="A151" s="700"/>
      <c r="B151" s="263"/>
      <c r="C151" s="148">
        <f>IF('Spielereinsatzliste B1'!B18="","",'Spielereinsatzliste B1'!B18)</f>
      </c>
      <c r="D151" s="149">
        <f>IF('Spielereinsatzliste B1'!C18="","",'Spielereinsatzliste B1'!C18)</f>
      </c>
      <c r="E151" s="658"/>
      <c r="F151" s="646"/>
      <c r="G151" s="638">
        <f t="shared" si="55"/>
      </c>
      <c r="H151" s="639">
        <f t="shared" si="55"/>
      </c>
      <c r="I151" s="148">
        <f>IF('Spielereinsatzliste B2'!B18="","",'Spielereinsatzliste B2'!B18)</f>
      </c>
      <c r="J151" s="149">
        <f>IF('Spielereinsatzliste B2'!C18="","",'Spielereinsatzliste B2'!C18)</f>
      </c>
      <c r="K151" s="658"/>
      <c r="L151" s="638">
        <f t="shared" si="56"/>
      </c>
      <c r="M151" s="639">
        <f t="shared" si="57"/>
      </c>
      <c r="N151" s="149">
        <f>IF('Spielereinsatzliste B3'!B18="","",'Spielereinsatzliste B3'!B18)</f>
      </c>
      <c r="O151" s="149">
        <f>IF('Spielereinsatzliste B3'!C18="","",'Spielereinsatzliste B3'!C18)</f>
      </c>
      <c r="P151" s="658"/>
      <c r="Q151" s="638">
        <f t="shared" si="58"/>
      </c>
      <c r="R151" s="639">
        <f t="shared" si="59"/>
      </c>
      <c r="S151" s="148">
        <f>IF('Spielereinsatzliste B4'!B18="","",'Spielereinsatzliste B4'!B18)</f>
      </c>
      <c r="T151" s="149">
        <f>IF('Spielereinsatzliste B4'!C18="","",'Spielereinsatzliste B4'!C18)</f>
      </c>
      <c r="U151" s="658"/>
      <c r="V151" s="638">
        <f t="shared" si="60"/>
      </c>
      <c r="W151" s="639">
        <f t="shared" si="61"/>
      </c>
      <c r="X151" s="148">
        <f>IF('Spielereinsatzliste B5'!B18="","",'Spielereinsatzliste B5'!B18)</f>
      </c>
      <c r="Y151" s="149">
        <f>IF('Spielereinsatzliste B5'!C18="","",'Spielereinsatzliste B5'!C18)</f>
      </c>
      <c r="Z151" s="658"/>
      <c r="AA151" s="638">
        <f t="shared" si="62"/>
      </c>
      <c r="AB151" s="639">
        <f t="shared" si="63"/>
      </c>
      <c r="AC151" s="237"/>
      <c r="AD151" s="237"/>
      <c r="AE151" s="230"/>
      <c r="AF151" s="228"/>
      <c r="AG151" s="228"/>
      <c r="AH151" s="230"/>
      <c r="AI151" s="228"/>
      <c r="AJ151" s="228"/>
      <c r="AK151" s="230"/>
      <c r="AL151" s="228"/>
      <c r="AM151" s="228"/>
      <c r="AN151" s="230"/>
      <c r="AO151" s="228"/>
      <c r="AP151" s="228"/>
      <c r="AQ151" s="230"/>
      <c r="AR151" s="619"/>
    </row>
    <row r="152" spans="1:44" s="184" customFormat="1" ht="12.75" customHeight="1">
      <c r="A152" s="700"/>
      <c r="B152" s="263"/>
      <c r="C152" s="148">
        <f>IF('Spielereinsatzliste B1'!B19="","",'Spielereinsatzliste B1'!B19)</f>
      </c>
      <c r="D152" s="149"/>
      <c r="E152" s="658"/>
      <c r="F152" s="646"/>
      <c r="G152" s="638">
        <f t="shared" si="55"/>
      </c>
      <c r="H152" s="639">
        <f t="shared" si="55"/>
      </c>
      <c r="I152" s="148">
        <f>IF('Spielereinsatzliste B2'!B19="","",'Spielereinsatzliste B2'!B19)</f>
      </c>
      <c r="J152" s="149"/>
      <c r="K152" s="658"/>
      <c r="L152" s="638">
        <f t="shared" si="56"/>
      </c>
      <c r="M152" s="639">
        <f t="shared" si="57"/>
      </c>
      <c r="N152" s="149">
        <f>IF('Spielereinsatzliste B3'!B19="","",'Spielereinsatzliste B3'!B19)</f>
      </c>
      <c r="O152" s="149">
        <f>IF('Spielereinsatzliste B3'!C19="","",'Spielereinsatzliste B3'!C19)</f>
      </c>
      <c r="P152" s="658"/>
      <c r="Q152" s="638">
        <f t="shared" si="58"/>
      </c>
      <c r="R152" s="639">
        <f t="shared" si="59"/>
      </c>
      <c r="S152" s="148">
        <f>IF('Spielereinsatzliste B4'!B19="","",'Spielereinsatzliste B4'!B19)</f>
      </c>
      <c r="T152" s="149">
        <f>IF('Spielereinsatzliste B4'!C19="","",'Spielereinsatzliste B4'!C19)</f>
      </c>
      <c r="U152" s="658"/>
      <c r="V152" s="638">
        <f t="shared" si="60"/>
      </c>
      <c r="W152" s="639">
        <f t="shared" si="61"/>
      </c>
      <c r="X152" s="148">
        <f>IF('Spielereinsatzliste B5'!B19="","",'Spielereinsatzliste B5'!B19)</f>
      </c>
      <c r="Y152" s="149">
        <f>IF('Spielereinsatzliste B5'!C19="","",'Spielereinsatzliste B5'!C19)</f>
      </c>
      <c r="Z152" s="658"/>
      <c r="AA152" s="638">
        <f t="shared" si="62"/>
      </c>
      <c r="AB152" s="639">
        <f t="shared" si="63"/>
      </c>
      <c r="AC152" s="237"/>
      <c r="AD152" s="237"/>
      <c r="AE152" s="230"/>
      <c r="AF152" s="228"/>
      <c r="AG152" s="228"/>
      <c r="AH152" s="230"/>
      <c r="AI152" s="228"/>
      <c r="AJ152" s="228"/>
      <c r="AK152" s="230"/>
      <c r="AL152" s="228"/>
      <c r="AM152" s="228"/>
      <c r="AN152" s="230"/>
      <c r="AO152" s="228"/>
      <c r="AP152" s="228"/>
      <c r="AQ152" s="230"/>
      <c r="AR152" s="619"/>
    </row>
    <row r="153" spans="1:44" s="184" customFormat="1" ht="12.75" customHeight="1">
      <c r="A153" s="700"/>
      <c r="B153" s="263"/>
      <c r="C153" s="148">
        <f>IF('Spielereinsatzliste B1'!B20="","",'Spielereinsatzliste B1'!B20)</f>
      </c>
      <c r="D153" s="149">
        <f>IF('Spielereinsatzliste B1'!C20="","",'Spielereinsatzliste B1'!C20)</f>
      </c>
      <c r="E153" s="658"/>
      <c r="F153" s="646"/>
      <c r="G153" s="638">
        <f t="shared" si="55"/>
      </c>
      <c r="H153" s="639">
        <f t="shared" si="55"/>
      </c>
      <c r="I153" s="148">
        <f>IF('Spielereinsatzliste B2'!B20="","",'Spielereinsatzliste B2'!B20)</f>
      </c>
      <c r="J153" s="149">
        <f>IF('Spielereinsatzliste B2'!C20="","",'Spielereinsatzliste B2'!C20)</f>
      </c>
      <c r="K153" s="658"/>
      <c r="L153" s="638">
        <f t="shared" si="56"/>
      </c>
      <c r="M153" s="639">
        <f t="shared" si="57"/>
      </c>
      <c r="N153" s="149">
        <f>IF('Spielereinsatzliste B3'!B20="","",'Spielereinsatzliste B3'!B20)</f>
      </c>
      <c r="O153" s="149">
        <f>IF('Spielereinsatzliste B3'!C20="","",'Spielereinsatzliste B3'!C20)</f>
      </c>
      <c r="P153" s="658"/>
      <c r="Q153" s="638">
        <f t="shared" si="58"/>
      </c>
      <c r="R153" s="639">
        <f t="shared" si="59"/>
      </c>
      <c r="S153" s="148">
        <f>IF('Spielereinsatzliste B4'!B20="","",'Spielereinsatzliste B4'!B20)</f>
      </c>
      <c r="T153" s="149">
        <f>IF('Spielereinsatzliste B4'!C20="","",'Spielereinsatzliste B4'!C20)</f>
      </c>
      <c r="U153" s="658"/>
      <c r="V153" s="638">
        <f t="shared" si="60"/>
      </c>
      <c r="W153" s="639">
        <f t="shared" si="61"/>
      </c>
      <c r="X153" s="148"/>
      <c r="Y153" s="149">
        <f>IF('Spielereinsatzliste B5'!C20="","",'Spielereinsatzliste B5'!C20)</f>
      </c>
      <c r="Z153" s="658"/>
      <c r="AA153" s="638">
        <f t="shared" si="62"/>
      </c>
      <c r="AB153" s="639">
        <f t="shared" si="63"/>
      </c>
      <c r="AC153" s="237"/>
      <c r="AD153" s="237"/>
      <c r="AE153" s="230"/>
      <c r="AF153" s="228"/>
      <c r="AG153" s="228"/>
      <c r="AH153" s="230"/>
      <c r="AI153" s="228"/>
      <c r="AJ153" s="228"/>
      <c r="AK153" s="230"/>
      <c r="AL153" s="228"/>
      <c r="AM153" s="228"/>
      <c r="AN153" s="230"/>
      <c r="AO153" s="228"/>
      <c r="AP153" s="228"/>
      <c r="AQ153" s="230"/>
      <c r="AR153" s="619"/>
    </row>
    <row r="154" spans="1:44" s="184" customFormat="1" ht="12.75" customHeight="1">
      <c r="A154" s="700"/>
      <c r="B154" s="263"/>
      <c r="C154" s="148">
        <f>IF('Spielereinsatzliste B1'!B21="","",'Spielereinsatzliste B1'!B21)</f>
      </c>
      <c r="D154" s="149">
        <f>IF('Spielereinsatzliste B1'!C21="","",'Spielereinsatzliste B1'!C21)</f>
      </c>
      <c r="E154" s="658"/>
      <c r="F154" s="646"/>
      <c r="G154" s="638">
        <f t="shared" si="55"/>
      </c>
      <c r="H154" s="639">
        <f t="shared" si="55"/>
      </c>
      <c r="I154" s="148">
        <f>IF('Spielereinsatzliste B2'!B21="","",'Spielereinsatzliste B2'!B21)</f>
      </c>
      <c r="J154" s="149">
        <f>IF('Spielereinsatzliste B2'!C21="","",'Spielereinsatzliste B2'!C21)</f>
      </c>
      <c r="K154" s="659"/>
      <c r="L154" s="638">
        <f t="shared" si="56"/>
      </c>
      <c r="M154" s="639">
        <f t="shared" si="57"/>
      </c>
      <c r="N154" s="149">
        <f>IF('Spielereinsatzliste B3'!B21="","",'Spielereinsatzliste B3'!B21)</f>
      </c>
      <c r="O154" s="149">
        <f>IF('Spielereinsatzliste B3'!C21="","",'Spielereinsatzliste B3'!C21)</f>
      </c>
      <c r="P154" s="658"/>
      <c r="Q154" s="638">
        <f t="shared" si="58"/>
      </c>
      <c r="R154" s="639">
        <f t="shared" si="59"/>
      </c>
      <c r="S154" s="148">
        <f>IF('Spielereinsatzliste B4'!B21="","",'Spielereinsatzliste B4'!B21)</f>
      </c>
      <c r="T154" s="149"/>
      <c r="U154" s="658"/>
      <c r="V154" s="638">
        <f t="shared" si="60"/>
      </c>
      <c r="W154" s="639">
        <f t="shared" si="61"/>
      </c>
      <c r="X154" s="148"/>
      <c r="Y154" s="149">
        <f>IF('Spielereinsatzliste B5'!C21="","",'Spielereinsatzliste B5'!C21)</f>
      </c>
      <c r="Z154" s="658"/>
      <c r="AA154" s="638">
        <f t="shared" si="62"/>
      </c>
      <c r="AB154" s="639">
        <f t="shared" si="63"/>
      </c>
      <c r="AC154" s="237"/>
      <c r="AD154" s="237"/>
      <c r="AE154" s="230"/>
      <c r="AF154" s="228"/>
      <c r="AG154" s="228"/>
      <c r="AH154" s="230"/>
      <c r="AI154" s="228"/>
      <c r="AJ154" s="228"/>
      <c r="AK154" s="230"/>
      <c r="AL154" s="228"/>
      <c r="AM154" s="228"/>
      <c r="AN154" s="230"/>
      <c r="AO154" s="228"/>
      <c r="AP154" s="228"/>
      <c r="AQ154" s="230"/>
      <c r="AR154" s="619"/>
    </row>
    <row r="155" spans="1:44" s="184" customFormat="1" ht="12.75" customHeight="1">
      <c r="A155" s="701"/>
      <c r="B155" s="264"/>
      <c r="C155" s="148">
        <f>IF('Spielereinsatzliste B1'!B22="","",'Spielereinsatzliste B1'!B22)</f>
      </c>
      <c r="D155" s="149">
        <f>IF('Spielereinsatzliste B1'!C22="","",'Spielereinsatzliste B1'!C22)</f>
      </c>
      <c r="E155" s="658"/>
      <c r="F155" s="646"/>
      <c r="G155" s="638">
        <f t="shared" si="55"/>
      </c>
      <c r="H155" s="639">
        <f t="shared" si="55"/>
      </c>
      <c r="I155" s="148">
        <f>IF('Spielereinsatzliste B2'!B22="","",'Spielereinsatzliste B2'!B22)</f>
      </c>
      <c r="J155" s="149">
        <f>IF('Spielereinsatzliste B2'!C22="","",'Spielereinsatzliste B2'!C22)</f>
      </c>
      <c r="K155" s="659"/>
      <c r="L155" s="638">
        <f t="shared" si="56"/>
      </c>
      <c r="M155" s="639">
        <f t="shared" si="57"/>
      </c>
      <c r="N155" s="149">
        <f>IF('Spielereinsatzliste B3'!B22="","",'Spielereinsatzliste B3'!B22)</f>
      </c>
      <c r="O155" s="149">
        <f>IF('Spielereinsatzliste B3'!C22="","",'Spielereinsatzliste B3'!C22)</f>
      </c>
      <c r="P155" s="658"/>
      <c r="Q155" s="638">
        <f t="shared" si="58"/>
      </c>
      <c r="R155" s="639">
        <f t="shared" si="59"/>
      </c>
      <c r="S155" s="148">
        <f>IF('Spielereinsatzliste B4'!B22="","",'Spielereinsatzliste B4'!B22)</f>
      </c>
      <c r="T155" s="149">
        <f>IF('Spielereinsatzliste B4'!C22="","",'Spielereinsatzliste B4'!C22)</f>
      </c>
      <c r="U155" s="659"/>
      <c r="V155" s="638">
        <f t="shared" si="60"/>
      </c>
      <c r="W155" s="639">
        <f t="shared" si="61"/>
      </c>
      <c r="X155" s="148">
        <f>IF('Spielereinsatzliste B5'!B22="","",'Spielereinsatzliste B5'!B22)</f>
      </c>
      <c r="Y155" s="149">
        <f>IF('Spielereinsatzliste B5'!C22="","",'Spielereinsatzliste B5'!C22)</f>
      </c>
      <c r="Z155" s="658"/>
      <c r="AA155" s="638">
        <f t="shared" si="62"/>
      </c>
      <c r="AB155" s="639">
        <f t="shared" si="63"/>
      </c>
      <c r="AC155" s="237"/>
      <c r="AD155" s="237"/>
      <c r="AE155" s="230"/>
      <c r="AF155" s="228"/>
      <c r="AG155" s="228"/>
      <c r="AH155" s="230"/>
      <c r="AI155" s="228"/>
      <c r="AJ155" s="228"/>
      <c r="AK155" s="230"/>
      <c r="AL155" s="228"/>
      <c r="AM155" s="228"/>
      <c r="AN155" s="230"/>
      <c r="AO155" s="228"/>
      <c r="AP155" s="228"/>
      <c r="AQ155" s="230"/>
      <c r="AR155" s="619"/>
    </row>
    <row r="156" spans="1:44" s="184" customFormat="1" ht="12.75" customHeight="1">
      <c r="A156" s="701"/>
      <c r="B156" s="264"/>
      <c r="C156" s="148">
        <f>IF('Spielereinsatzliste B1'!B23="","",'Spielereinsatzliste B1'!B23)</f>
      </c>
      <c r="D156" s="149">
        <f>IF('Spielereinsatzliste B1'!C23="","",'Spielereinsatzliste B1'!C23)</f>
      </c>
      <c r="E156" s="643"/>
      <c r="F156" s="646"/>
      <c r="G156" s="638">
        <f t="shared" si="55"/>
      </c>
      <c r="H156" s="639">
        <f t="shared" si="55"/>
      </c>
      <c r="I156" s="148">
        <f>IF('Spielereinsatzliste B2'!B23="","",'Spielereinsatzliste B2'!B23)</f>
      </c>
      <c r="J156" s="149">
        <f>IF('Spielereinsatzliste B2'!C23="","",'Spielereinsatzliste B2'!C23)</f>
      </c>
      <c r="K156" s="659"/>
      <c r="L156" s="638">
        <f t="shared" si="56"/>
      </c>
      <c r="M156" s="639">
        <f t="shared" si="57"/>
      </c>
      <c r="N156" s="149">
        <f>IF('Spielereinsatzliste B3'!B23="","",'Spielereinsatzliste B3'!B23)</f>
      </c>
      <c r="O156" s="149">
        <f>IF('Spielereinsatzliste B3'!C23="","",'Spielereinsatzliste B3'!C23)</f>
      </c>
      <c r="P156" s="658"/>
      <c r="Q156" s="638">
        <f t="shared" si="58"/>
      </c>
      <c r="R156" s="639">
        <f t="shared" si="59"/>
      </c>
      <c r="S156" s="148">
        <f>IF('Spielereinsatzliste B4'!B23="","",'Spielereinsatzliste B4'!B23)</f>
      </c>
      <c r="T156" s="149">
        <f>IF('Spielereinsatzliste B4'!C23="","",'Spielereinsatzliste B4'!C23)</f>
      </c>
      <c r="U156" s="659"/>
      <c r="V156" s="638">
        <f t="shared" si="60"/>
      </c>
      <c r="W156" s="639">
        <f t="shared" si="61"/>
      </c>
      <c r="X156" s="148">
        <f>IF('Spielereinsatzliste B5'!B23="","",'Spielereinsatzliste B5'!B23)</f>
      </c>
      <c r="Y156" s="149">
        <f>IF('Spielereinsatzliste B5'!C23="","",'Spielereinsatzliste B5'!C23)</f>
      </c>
      <c r="Z156" s="658"/>
      <c r="AA156" s="638">
        <f t="shared" si="62"/>
      </c>
      <c r="AB156" s="639">
        <f t="shared" si="63"/>
      </c>
      <c r="AC156" s="237"/>
      <c r="AD156" s="237"/>
      <c r="AE156" s="230"/>
      <c r="AF156" s="228"/>
      <c r="AG156" s="228"/>
      <c r="AH156" s="230"/>
      <c r="AI156" s="228"/>
      <c r="AJ156" s="228"/>
      <c r="AK156" s="230"/>
      <c r="AL156" s="228"/>
      <c r="AM156" s="228"/>
      <c r="AN156" s="230"/>
      <c r="AO156" s="228"/>
      <c r="AP156" s="228"/>
      <c r="AQ156" s="230"/>
      <c r="AR156" s="619"/>
    </row>
    <row r="157" spans="1:44" s="184" customFormat="1" ht="12.75" customHeight="1" thickBot="1">
      <c r="A157" s="701"/>
      <c r="B157" s="264"/>
      <c r="C157" s="150">
        <f>IF('Spielereinsatzliste B1'!B24="","",'Spielereinsatzliste B1'!B24)</f>
      </c>
      <c r="D157" s="151">
        <f>IF('Spielereinsatzliste B1'!C24="","",'Spielereinsatzliste B1'!C24)</f>
      </c>
      <c r="E157" s="644"/>
      <c r="F157" s="647"/>
      <c r="G157" s="640">
        <f t="shared" si="55"/>
      </c>
      <c r="H157" s="641">
        <f t="shared" si="55"/>
      </c>
      <c r="I157" s="150">
        <f>IF('Spielereinsatzliste B2'!B24="","",'Spielereinsatzliste B2'!B24)</f>
      </c>
      <c r="J157" s="151">
        <f>IF('Spielereinsatzliste B2'!C24="","",'Spielereinsatzliste B2'!C24)</f>
      </c>
      <c r="K157" s="644"/>
      <c r="L157" s="640">
        <f t="shared" si="56"/>
      </c>
      <c r="M157" s="641">
        <f t="shared" si="57"/>
      </c>
      <c r="N157" s="151">
        <f>IF('Spielereinsatzliste B3'!B24="","",'Spielereinsatzliste B3'!B24)</f>
      </c>
      <c r="O157" s="151">
        <f>IF('Spielereinsatzliste B3'!C24="","",'Spielereinsatzliste B3'!C24)</f>
      </c>
      <c r="P157" s="644"/>
      <c r="Q157" s="640">
        <f t="shared" si="58"/>
      </c>
      <c r="R157" s="641">
        <f t="shared" si="59"/>
      </c>
      <c r="S157" s="150">
        <f>IF('Spielereinsatzliste B4'!B24="","",'Spielereinsatzliste B4'!B24)</f>
      </c>
      <c r="T157" s="151">
        <f>IF('Spielereinsatzliste B4'!C24="","",'Spielereinsatzliste B4'!C24)</f>
      </c>
      <c r="U157" s="662"/>
      <c r="V157" s="640">
        <f t="shared" si="60"/>
      </c>
      <c r="W157" s="641">
        <f t="shared" si="61"/>
      </c>
      <c r="X157" s="150">
        <f>IF('Spielereinsatzliste B5'!B24="","",'Spielereinsatzliste B5'!B24)</f>
      </c>
      <c r="Y157" s="151">
        <f>IF('Spielereinsatzliste B5'!C24="","",'Spielereinsatzliste B5'!C24)</f>
      </c>
      <c r="Z157" s="660"/>
      <c r="AA157" s="640">
        <f t="shared" si="62"/>
      </c>
      <c r="AB157" s="641">
        <f t="shared" si="63"/>
      </c>
      <c r="AC157" s="237"/>
      <c r="AD157" s="237"/>
      <c r="AE157" s="230"/>
      <c r="AF157" s="228"/>
      <c r="AG157" s="228"/>
      <c r="AH157" s="230"/>
      <c r="AI157" s="228"/>
      <c r="AJ157" s="228"/>
      <c r="AK157" s="230"/>
      <c r="AL157" s="228"/>
      <c r="AM157" s="228"/>
      <c r="AN157" s="230"/>
      <c r="AO157" s="228"/>
      <c r="AP157" s="228"/>
      <c r="AQ157" s="230"/>
      <c r="AR157" s="619"/>
    </row>
    <row r="158" spans="1:44" s="184" customFormat="1" ht="12.75" customHeight="1">
      <c r="A158" s="157" t="s">
        <v>38</v>
      </c>
      <c r="B158" s="265"/>
      <c r="C158" s="152"/>
      <c r="D158" s="153"/>
      <c r="E158" s="147"/>
      <c r="F158" s="611"/>
      <c r="G158" s="611"/>
      <c r="H158" s="611"/>
      <c r="I158" s="152"/>
      <c r="J158" s="153"/>
      <c r="K158" s="147"/>
      <c r="L158" s="611"/>
      <c r="M158" s="611"/>
      <c r="N158" s="152"/>
      <c r="O158" s="153"/>
      <c r="P158" s="147"/>
      <c r="Q158" s="611"/>
      <c r="R158" s="611"/>
      <c r="S158" s="152"/>
      <c r="T158" s="153"/>
      <c r="U158" s="147"/>
      <c r="V158" s="611"/>
      <c r="W158" s="611"/>
      <c r="X158" s="152"/>
      <c r="Y158" s="153"/>
      <c r="Z158" s="147"/>
      <c r="AA158" s="624"/>
      <c r="AB158" s="624"/>
      <c r="AC158" s="237"/>
      <c r="AD158" s="237"/>
      <c r="AE158" s="230"/>
      <c r="AF158" s="228"/>
      <c r="AG158" s="228"/>
      <c r="AH158" s="230"/>
      <c r="AI158" s="228"/>
      <c r="AJ158" s="228"/>
      <c r="AK158" s="230"/>
      <c r="AL158" s="228"/>
      <c r="AM158" s="228"/>
      <c r="AN158" s="230"/>
      <c r="AO158" s="228"/>
      <c r="AP158" s="228"/>
      <c r="AQ158" s="230"/>
      <c r="AR158" s="247"/>
    </row>
    <row r="159" spans="1:44" s="184" customFormat="1" ht="12.75" customHeight="1" thickBot="1">
      <c r="A159" s="158" t="s">
        <v>39</v>
      </c>
      <c r="B159" s="266"/>
      <c r="C159" s="154"/>
      <c r="D159" s="155"/>
      <c r="E159" s="156"/>
      <c r="F159" s="612"/>
      <c r="G159" s="612"/>
      <c r="H159" s="612"/>
      <c r="I159" s="154"/>
      <c r="J159" s="155"/>
      <c r="K159" s="156"/>
      <c r="L159" s="612"/>
      <c r="M159" s="612"/>
      <c r="N159" s="154"/>
      <c r="O159" s="155"/>
      <c r="P159" s="156"/>
      <c r="Q159" s="612"/>
      <c r="R159" s="612"/>
      <c r="S159" s="154"/>
      <c r="T159" s="155"/>
      <c r="U159" s="156"/>
      <c r="V159" s="612"/>
      <c r="W159" s="612"/>
      <c r="X159" s="154"/>
      <c r="Y159" s="155"/>
      <c r="Z159" s="156"/>
      <c r="AA159" s="624"/>
      <c r="AB159" s="624"/>
      <c r="AC159" s="237"/>
      <c r="AD159" s="237"/>
      <c r="AE159" s="230"/>
      <c r="AF159" s="228"/>
      <c r="AG159" s="228"/>
      <c r="AH159" s="230"/>
      <c r="AI159" s="228"/>
      <c r="AJ159" s="228"/>
      <c r="AK159" s="230"/>
      <c r="AL159" s="228"/>
      <c r="AM159" s="228"/>
      <c r="AN159" s="230"/>
      <c r="AO159" s="228"/>
      <c r="AP159" s="228"/>
      <c r="AQ159" s="230"/>
      <c r="AR159" s="247"/>
    </row>
    <row r="160" spans="1:44" s="13" customFormat="1" ht="13.5" hidden="1" thickTop="1">
      <c r="A160" s="14"/>
      <c r="B160" s="23"/>
      <c r="C160" s="23"/>
      <c r="D160" s="23"/>
      <c r="E160" s="14"/>
      <c r="F160" s="14"/>
      <c r="G160" s="14"/>
      <c r="H160" s="14"/>
      <c r="I160" s="23"/>
      <c r="J160" s="23"/>
      <c r="K160" s="14"/>
      <c r="L160" s="14"/>
      <c r="M160" s="14"/>
      <c r="N160" s="23"/>
      <c r="O160" s="23"/>
      <c r="Q160" s="14"/>
      <c r="R160" s="14"/>
      <c r="S160" s="23"/>
      <c r="T160" s="23"/>
      <c r="V160" s="14"/>
      <c r="W160" s="14"/>
      <c r="X160" s="23"/>
      <c r="Y160" s="23"/>
      <c r="AC160" s="24"/>
      <c r="AD160" s="24"/>
      <c r="AF160" s="24"/>
      <c r="AG160" s="24"/>
      <c r="AI160" s="24"/>
      <c r="AJ160" s="24"/>
      <c r="AL160" s="24"/>
      <c r="AM160" s="24"/>
      <c r="AO160" s="24"/>
      <c r="AP160" s="24"/>
      <c r="AR160" s="14"/>
    </row>
    <row r="161" spans="3:30" ht="12.75" hidden="1">
      <c r="C161"/>
      <c r="D161" s="469"/>
      <c r="E161" s="143"/>
      <c r="F161" s="143"/>
      <c r="G161" s="143"/>
      <c r="H161" s="143"/>
      <c r="I161" s="143"/>
      <c r="J161"/>
      <c r="K161" s="143"/>
      <c r="L161" s="143"/>
      <c r="M161" s="143"/>
      <c r="N161" s="143"/>
      <c r="O161"/>
      <c r="P161" t="s">
        <v>282</v>
      </c>
      <c r="S161" s="143"/>
      <c r="T161" s="143"/>
      <c r="X161" s="143"/>
      <c r="Y161" s="143"/>
      <c r="Z161">
        <f>IF($K$3=P161,YEAR($P$4)-12,0)</f>
        <v>0</v>
      </c>
      <c r="AC161" s="143"/>
      <c r="AD161">
        <f ca="1">IF($K$3=P161,YEAR(TODAY())-14,0)</f>
        <v>0</v>
      </c>
    </row>
    <row r="162" spans="3:30" ht="12.75" hidden="1">
      <c r="C162"/>
      <c r="D162" s="469"/>
      <c r="E162" s="143"/>
      <c r="F162" s="143"/>
      <c r="G162" s="143"/>
      <c r="H162" s="143"/>
      <c r="I162" s="143"/>
      <c r="J162"/>
      <c r="K162" s="143"/>
      <c r="L162" s="143"/>
      <c r="M162" s="143"/>
      <c r="N162" s="143"/>
      <c r="O162"/>
      <c r="P162" t="s">
        <v>243</v>
      </c>
      <c r="S162" s="143"/>
      <c r="T162" s="143"/>
      <c r="X162" s="143"/>
      <c r="Y162" s="143"/>
      <c r="Z162">
        <f>IF($K$3=P162,YEAR($P$4)-14,0)</f>
        <v>0</v>
      </c>
      <c r="AC162" s="143"/>
      <c r="AD162"/>
    </row>
    <row r="163" spans="3:30" ht="12.75" hidden="1">
      <c r="C163"/>
      <c r="D163" s="469"/>
      <c r="E163" s="143"/>
      <c r="F163" s="143"/>
      <c r="G163" s="143"/>
      <c r="H163" s="143"/>
      <c r="I163" s="143"/>
      <c r="J163"/>
      <c r="K163" s="143"/>
      <c r="L163" s="143"/>
      <c r="M163" s="143"/>
      <c r="N163" s="143"/>
      <c r="O163"/>
      <c r="P163" t="s">
        <v>244</v>
      </c>
      <c r="S163" s="143"/>
      <c r="T163" s="143"/>
      <c r="X163" s="143"/>
      <c r="Y163" s="143"/>
      <c r="Z163">
        <f>IF($K$3=P163,YEAR($P$4)-16,0)</f>
        <v>0</v>
      </c>
      <c r="AC163" s="143"/>
      <c r="AD163">
        <f ca="1">IF($K$3=P163,YEAR(TODAY())-16,0)</f>
        <v>0</v>
      </c>
    </row>
    <row r="164" spans="3:30" ht="12.75" hidden="1">
      <c r="C164"/>
      <c r="D164" s="469"/>
      <c r="E164" s="143"/>
      <c r="F164" s="143"/>
      <c r="G164" s="143"/>
      <c r="H164" s="143"/>
      <c r="I164" s="143"/>
      <c r="J164"/>
      <c r="K164" s="143"/>
      <c r="L164" s="143"/>
      <c r="M164" s="143"/>
      <c r="N164" s="143"/>
      <c r="O164"/>
      <c r="P164" t="s">
        <v>245</v>
      </c>
      <c r="S164" s="143"/>
      <c r="T164" s="143"/>
      <c r="X164" s="143"/>
      <c r="Y164" s="143"/>
      <c r="Z164">
        <f>IF($K$3=P164,YEAR($P$4)-18,0)</f>
        <v>0</v>
      </c>
      <c r="AC164" s="143"/>
      <c r="AD164">
        <f ca="1">IF($K$3=P164,YEAR(TODAY())-18,0)</f>
        <v>0</v>
      </c>
    </row>
    <row r="165" spans="3:30" ht="12.75" hidden="1">
      <c r="C165"/>
      <c r="D165" s="469"/>
      <c r="E165" s="143"/>
      <c r="F165" s="143"/>
      <c r="G165" s="143"/>
      <c r="H165" s="143"/>
      <c r="I165" s="143"/>
      <c r="J165"/>
      <c r="K165" s="143"/>
      <c r="L165" s="143"/>
      <c r="M165" s="143"/>
      <c r="N165" s="143"/>
      <c r="O165"/>
      <c r="P165" t="s">
        <v>283</v>
      </c>
      <c r="S165" s="143"/>
      <c r="T165" s="143"/>
      <c r="X165" s="143"/>
      <c r="Y165" s="143"/>
      <c r="Z165">
        <f>IF($K$3=P165,YEAR($P$4)-12,0)</f>
        <v>0</v>
      </c>
      <c r="AC165" s="143"/>
      <c r="AD165"/>
    </row>
    <row r="166" spans="3:30" ht="12.75" hidden="1">
      <c r="C166"/>
      <c r="D166" s="469"/>
      <c r="E166" s="143"/>
      <c r="F166" s="143"/>
      <c r="G166" s="143"/>
      <c r="H166" s="143"/>
      <c r="I166" s="143"/>
      <c r="J166"/>
      <c r="K166" s="143"/>
      <c r="L166" s="143"/>
      <c r="M166" s="143"/>
      <c r="N166" s="143"/>
      <c r="O166"/>
      <c r="P166" t="s">
        <v>246</v>
      </c>
      <c r="S166" s="143"/>
      <c r="T166" s="143"/>
      <c r="X166" s="143"/>
      <c r="Y166" s="143"/>
      <c r="Z166">
        <f>IF($K$3=P166,YEAR($P$4)-14,0)</f>
        <v>0</v>
      </c>
      <c r="AC166" s="143"/>
      <c r="AD166">
        <f ca="1">IF($K$3=P166,YEAR(TODAY())-14,0)</f>
        <v>0</v>
      </c>
    </row>
    <row r="167" spans="3:30" ht="12.75" hidden="1">
      <c r="C167"/>
      <c r="D167" s="469"/>
      <c r="E167" s="143"/>
      <c r="F167" s="143"/>
      <c r="G167" s="143"/>
      <c r="H167" s="143"/>
      <c r="I167" s="143"/>
      <c r="J167"/>
      <c r="K167" s="143"/>
      <c r="L167" s="143"/>
      <c r="M167" s="143"/>
      <c r="N167" s="143"/>
      <c r="O167"/>
      <c r="P167" t="s">
        <v>247</v>
      </c>
      <c r="S167" s="143"/>
      <c r="T167" s="143"/>
      <c r="X167" s="143"/>
      <c r="Y167" s="143"/>
      <c r="Z167">
        <f>IF($K$3=P167,YEAR($P$4)-16,0)</f>
        <v>0</v>
      </c>
      <c r="AC167" s="143"/>
      <c r="AD167">
        <f ca="1">IF($K$3=P167,YEAR(TODAY())-16,0)</f>
        <v>0</v>
      </c>
    </row>
    <row r="168" spans="3:30" ht="12.75" hidden="1">
      <c r="C168"/>
      <c r="D168" s="469"/>
      <c r="E168" s="143"/>
      <c r="F168" s="143"/>
      <c r="G168" s="143"/>
      <c r="H168" s="143"/>
      <c r="I168" s="143"/>
      <c r="J168"/>
      <c r="K168" s="143"/>
      <c r="L168" s="143"/>
      <c r="M168" s="143"/>
      <c r="N168" s="143"/>
      <c r="O168"/>
      <c r="P168" t="s">
        <v>248</v>
      </c>
      <c r="S168" s="143"/>
      <c r="T168" s="143"/>
      <c r="X168" s="143"/>
      <c r="Y168" s="143"/>
      <c r="Z168">
        <f>IF($K$3=P168,YEAR($P$4)-18,0)</f>
        <v>2001</v>
      </c>
      <c r="AC168" s="143"/>
      <c r="AD168">
        <f ca="1">IF($K$3=P168,YEAR(TODAY())-18,0)</f>
        <v>2001</v>
      </c>
    </row>
    <row r="169" spans="3:30" ht="12.75" hidden="1">
      <c r="C169"/>
      <c r="D169" s="469"/>
      <c r="E169" s="143"/>
      <c r="F169" s="143"/>
      <c r="G169" s="143"/>
      <c r="H169" s="143"/>
      <c r="I169" s="143"/>
      <c r="J169"/>
      <c r="K169" s="143"/>
      <c r="L169" s="143"/>
      <c r="M169" s="143"/>
      <c r="N169" s="143"/>
      <c r="O169"/>
      <c r="P169" t="s">
        <v>250</v>
      </c>
      <c r="S169" s="143"/>
      <c r="T169" s="143"/>
      <c r="U169">
        <f>IF($K$3=P169,YEAR($P$4)-30,0)</f>
        <v>0</v>
      </c>
      <c r="X169" s="143"/>
      <c r="Y169" s="143"/>
      <c r="AC169" s="143"/>
      <c r="AD169"/>
    </row>
    <row r="170" spans="3:30" ht="12.75" hidden="1">
      <c r="C170"/>
      <c r="D170" s="469"/>
      <c r="E170" s="143"/>
      <c r="F170" s="143"/>
      <c r="G170" s="143"/>
      <c r="H170" s="143"/>
      <c r="I170" s="143"/>
      <c r="J170"/>
      <c r="K170" s="143"/>
      <c r="L170" s="143"/>
      <c r="M170" s="143"/>
      <c r="N170" s="143"/>
      <c r="O170"/>
      <c r="P170" t="s">
        <v>212</v>
      </c>
      <c r="S170" s="143"/>
      <c r="T170" s="143"/>
      <c r="U170">
        <f>IF($K$3=P170,YEAR($P$4)-35,0)</f>
        <v>0</v>
      </c>
      <c r="X170" s="143"/>
      <c r="Y170" s="143"/>
      <c r="AC170" s="143"/>
      <c r="AD170"/>
    </row>
    <row r="171" spans="3:30" ht="12.75" hidden="1">
      <c r="C171"/>
      <c r="D171" s="469"/>
      <c r="E171" s="143"/>
      <c r="F171" s="143"/>
      <c r="G171" s="143"/>
      <c r="H171" s="143"/>
      <c r="I171" s="143"/>
      <c r="J171"/>
      <c r="K171" s="143"/>
      <c r="L171" s="143"/>
      <c r="M171" s="143"/>
      <c r="N171" s="143"/>
      <c r="O171"/>
      <c r="P171" t="s">
        <v>213</v>
      </c>
      <c r="S171" s="143"/>
      <c r="T171" s="143"/>
      <c r="U171">
        <f>IF($K$3=P171,YEAR($P$4)-45,0)</f>
        <v>0</v>
      </c>
      <c r="X171" s="143"/>
      <c r="Y171" s="143"/>
      <c r="AC171" s="143"/>
      <c r="AD171"/>
    </row>
    <row r="172" spans="3:30" ht="12.75" hidden="1">
      <c r="C172"/>
      <c r="D172" s="469"/>
      <c r="E172" s="143"/>
      <c r="F172" s="143"/>
      <c r="G172" s="143"/>
      <c r="H172" s="143"/>
      <c r="I172" s="143"/>
      <c r="J172"/>
      <c r="K172" s="143"/>
      <c r="L172" s="143"/>
      <c r="M172" s="143"/>
      <c r="N172" s="143"/>
      <c r="O172"/>
      <c r="P172" t="s">
        <v>214</v>
      </c>
      <c r="S172" s="143"/>
      <c r="T172" s="143"/>
      <c r="U172">
        <f>IF($K$3=P172,YEAR($P$4)-55,0)</f>
        <v>0</v>
      </c>
      <c r="X172" s="143"/>
      <c r="Y172" s="143"/>
      <c r="AC172" s="143"/>
      <c r="AD172"/>
    </row>
    <row r="173" spans="3:30" ht="12.75" hidden="1">
      <c r="C173"/>
      <c r="D173" s="469"/>
      <c r="E173" s="143"/>
      <c r="F173" s="143"/>
      <c r="G173" s="143"/>
      <c r="H173" s="143"/>
      <c r="I173" s="143"/>
      <c r="J173"/>
      <c r="K173" s="143"/>
      <c r="L173" s="143"/>
      <c r="M173" s="143"/>
      <c r="N173" s="143"/>
      <c r="O173"/>
      <c r="P173" t="s">
        <v>215</v>
      </c>
      <c r="S173" s="143"/>
      <c r="T173" s="143"/>
      <c r="U173">
        <f>IF($K$3=P173,YEAR($P$4)-60,0)</f>
        <v>0</v>
      </c>
      <c r="X173" s="143"/>
      <c r="Y173" s="143"/>
      <c r="AC173" s="143"/>
      <c r="AD173"/>
    </row>
    <row r="174" spans="3:30" ht="12.75" hidden="1">
      <c r="C174"/>
      <c r="D174" s="469"/>
      <c r="E174" s="143"/>
      <c r="F174" s="143"/>
      <c r="G174" s="143"/>
      <c r="H174" s="143"/>
      <c r="I174" s="143"/>
      <c r="J174"/>
      <c r="K174" s="143"/>
      <c r="L174" s="143"/>
      <c r="M174" s="143"/>
      <c r="N174" s="143"/>
      <c r="O174"/>
      <c r="S174" s="143"/>
      <c r="T174" s="143"/>
      <c r="U174" s="33"/>
      <c r="V174" s="618"/>
      <c r="W174" s="618"/>
      <c r="X174" s="143"/>
      <c r="Y174" s="143"/>
      <c r="AC174" s="143"/>
      <c r="AD174"/>
    </row>
    <row r="175" spans="3:30" ht="12.75" hidden="1">
      <c r="C175"/>
      <c r="D175" s="469"/>
      <c r="E175" s="143"/>
      <c r="F175" s="143"/>
      <c r="G175" s="143"/>
      <c r="H175" s="143"/>
      <c r="I175" s="143"/>
      <c r="J175"/>
      <c r="K175" s="143"/>
      <c r="L175" s="143"/>
      <c r="M175" s="143"/>
      <c r="N175" s="143"/>
      <c r="O175"/>
      <c r="S175" s="143"/>
      <c r="T175" s="143"/>
      <c r="U175">
        <f>SUM(U161:U174)</f>
        <v>0</v>
      </c>
      <c r="X175"/>
      <c r="Y175"/>
      <c r="Z175">
        <f>IF(P176&lt;5,SUM(Z161:Z174)-1,SUM(Z161:Z174))</f>
        <v>2001</v>
      </c>
      <c r="AC175"/>
      <c r="AD175">
        <f>IF(P176&lt;5,SUM(AD161:AD174)-1,SUM(AD161:AD174))</f>
        <v>2001</v>
      </c>
    </row>
    <row r="176" spans="3:30" ht="12.75" hidden="1">
      <c r="C176"/>
      <c r="D176" s="469"/>
      <c r="E176" s="143"/>
      <c r="F176" s="143"/>
      <c r="G176" s="143"/>
      <c r="H176" s="143"/>
      <c r="I176" s="143"/>
      <c r="J176"/>
      <c r="K176" s="143"/>
      <c r="L176" s="143"/>
      <c r="M176" s="143"/>
      <c r="N176" s="143"/>
      <c r="O176"/>
      <c r="P176">
        <f>MONTH(P4)</f>
        <v>9</v>
      </c>
      <c r="S176" s="143">
        <f>YEAR(P4)</f>
        <v>2019</v>
      </c>
      <c r="T176" s="143"/>
      <c r="U176" t="str">
        <f>IF(P176&gt;5,"31.12.","30.06.")</f>
        <v>31.12.</v>
      </c>
      <c r="X176" s="143"/>
      <c r="Y176" s="143"/>
      <c r="Z176" t="str">
        <f>IF(P176&gt;5,"01.01.","01.07.")</f>
        <v>01.01.</v>
      </c>
      <c r="AC176" s="143"/>
      <c r="AD176" t="str">
        <f>IF(P176&gt;5,"01.01.","01.07.")</f>
        <v>01.01.</v>
      </c>
    </row>
    <row r="177" ht="12.75" hidden="1"/>
    <row r="178" ht="13.5" thickTop="1"/>
  </sheetData>
  <sheetProtection selectLockedCells="1"/>
  <protectedRanges>
    <protectedRange sqref="D2 I4 N5 P4:R4 C10:AB11 C145:AB146" name="Bereich1"/>
    <protectedRange sqref="K3:M3" name="Bereich1_2"/>
    <protectedRange sqref="U3:X3" name="Bereich1_1"/>
  </protectedRanges>
  <mergeCells count="48">
    <mergeCell ref="A5:K5"/>
    <mergeCell ref="C146:E146"/>
    <mergeCell ref="A9:A11"/>
    <mergeCell ref="A6:Z6"/>
    <mergeCell ref="A7:Z7"/>
    <mergeCell ref="C11:E11"/>
    <mergeCell ref="C9:E9"/>
    <mergeCell ref="I146:K146"/>
    <mergeCell ref="N146:P146"/>
    <mergeCell ref="X145:Z145"/>
    <mergeCell ref="C8:K8"/>
    <mergeCell ref="S8:Z8"/>
    <mergeCell ref="N144:P144"/>
    <mergeCell ref="S144:U144"/>
    <mergeCell ref="X144:Z144"/>
    <mergeCell ref="X9:Z9"/>
    <mergeCell ref="S9:U9"/>
    <mergeCell ref="N9:P9"/>
    <mergeCell ref="I9:K9"/>
    <mergeCell ref="N145:P145"/>
    <mergeCell ref="S145:U145"/>
    <mergeCell ref="C10:E10"/>
    <mergeCell ref="I11:K11"/>
    <mergeCell ref="S10:U10"/>
    <mergeCell ref="N10:P10"/>
    <mergeCell ref="I145:K145"/>
    <mergeCell ref="A143:Z143"/>
    <mergeCell ref="I10:K10"/>
    <mergeCell ref="AO11:AQ11"/>
    <mergeCell ref="S11:U11"/>
    <mergeCell ref="X11:Z11"/>
    <mergeCell ref="N11:P11"/>
    <mergeCell ref="A147:A157"/>
    <mergeCell ref="A12:A23"/>
    <mergeCell ref="C144:E144"/>
    <mergeCell ref="I144:K144"/>
    <mergeCell ref="A144:A146"/>
    <mergeCell ref="C145:E145"/>
    <mergeCell ref="S146:U146"/>
    <mergeCell ref="X146:Z146"/>
    <mergeCell ref="D2:Y2"/>
    <mergeCell ref="X10:Z10"/>
    <mergeCell ref="D1:Y1"/>
    <mergeCell ref="N5:T5"/>
    <mergeCell ref="I4:K4"/>
    <mergeCell ref="T4:U4"/>
    <mergeCell ref="E3:J3"/>
    <mergeCell ref="X3:Y3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T27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184" customFormat="1" ht="27" customHeight="1">
      <c r="B1" s="470"/>
      <c r="C1" s="471"/>
      <c r="D1" s="690" t="s">
        <v>123</v>
      </c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</row>
    <row r="2" spans="1:16" s="184" customFormat="1" ht="23.25" customHeight="1">
      <c r="A2" s="234"/>
      <c r="B2" s="234"/>
      <c r="C2" s="234"/>
      <c r="D2" s="719" t="str">
        <f>Mannschaften!D2</f>
        <v> Deutsche Meisterschaft der Jugend  Feld   2019</v>
      </c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</row>
    <row r="3" spans="1:16" s="184" customFormat="1" ht="15.75" customHeight="1">
      <c r="A3" s="234"/>
      <c r="B3" s="234"/>
      <c r="C3" s="234"/>
      <c r="D3" s="232"/>
      <c r="E3" s="720" t="s">
        <v>149</v>
      </c>
      <c r="F3" s="720"/>
      <c r="G3" s="720"/>
      <c r="H3" s="443" t="str">
        <f>Mannschaften!K3</f>
        <v>m U18</v>
      </c>
      <c r="I3" s="234"/>
      <c r="J3" s="234"/>
      <c r="K3" s="472" t="s">
        <v>124</v>
      </c>
      <c r="L3" s="234"/>
      <c r="M3" s="234"/>
      <c r="N3" s="144">
        <f>Mannschaften!U3</f>
        <v>0</v>
      </c>
      <c r="O3" s="694">
        <f>Mannschaften!X3</f>
        <v>0</v>
      </c>
      <c r="P3" s="694"/>
    </row>
    <row r="4" spans="1:16" s="184" customFormat="1" ht="18" customHeight="1">
      <c r="A4" s="234"/>
      <c r="B4" s="234"/>
      <c r="C4" s="234"/>
      <c r="D4" s="234"/>
      <c r="E4" s="234"/>
      <c r="F4" s="717" t="str">
        <f>Mannschaften!I4</f>
        <v>Hallerstein</v>
      </c>
      <c r="G4" s="717"/>
      <c r="H4" s="717"/>
      <c r="I4" s="233"/>
      <c r="J4" s="234"/>
      <c r="K4" s="474">
        <f>Mannschaften!P4</f>
        <v>43715</v>
      </c>
      <c r="L4" s="473" t="s">
        <v>108</v>
      </c>
      <c r="M4" s="692">
        <f>Mannschaften!T4</f>
        <v>43716</v>
      </c>
      <c r="N4" s="692"/>
      <c r="O4" s="234"/>
      <c r="P4" s="234"/>
    </row>
    <row r="5" spans="1:16" s="184" customFormat="1" ht="18" customHeight="1">
      <c r="A5" s="718" t="s">
        <v>116</v>
      </c>
      <c r="B5" s="718"/>
      <c r="C5" s="718"/>
      <c r="D5" s="718"/>
      <c r="E5" s="718"/>
      <c r="F5" s="718"/>
      <c r="G5" s="718"/>
      <c r="H5" s="718"/>
      <c r="I5" s="717" t="str">
        <f>Mannschaften!N5</f>
        <v>TSV Hallerstein</v>
      </c>
      <c r="J5" s="717"/>
      <c r="K5" s="717"/>
      <c r="L5" s="717"/>
      <c r="M5" s="717"/>
      <c r="N5" s="234"/>
      <c r="O5" s="234"/>
      <c r="P5" s="234"/>
    </row>
    <row r="6" s="184" customFormat="1" ht="12.75"/>
    <row r="7" s="184" customFormat="1" ht="12.75"/>
    <row r="8" spans="5:20" s="162" customFormat="1" ht="18">
      <c r="E8" s="716" t="s">
        <v>249</v>
      </c>
      <c r="F8" s="716"/>
      <c r="G8" s="716"/>
      <c r="H8" s="716"/>
      <c r="I8" s="716"/>
      <c r="J8" s="716"/>
      <c r="K8" s="716"/>
      <c r="L8" s="716"/>
      <c r="M8" s="716"/>
      <c r="N8" s="716"/>
      <c r="Q8" s="716" t="s">
        <v>255</v>
      </c>
      <c r="R8" s="716"/>
      <c r="S8" s="716"/>
      <c r="T8" s="484"/>
    </row>
    <row r="9" s="162" customFormat="1" ht="12.75"/>
    <row r="10" spans="5:17" s="162" customFormat="1" ht="15.75">
      <c r="E10" s="483" t="s">
        <v>333</v>
      </c>
      <c r="K10" s="483"/>
      <c r="Q10" s="483" t="s">
        <v>333</v>
      </c>
    </row>
    <row r="11" spans="5:17" s="162" customFormat="1" ht="15.75">
      <c r="E11" s="483" t="s">
        <v>334</v>
      </c>
      <c r="K11" s="483"/>
      <c r="Q11" s="483" t="s">
        <v>334</v>
      </c>
    </row>
    <row r="12" spans="5:17" s="162" customFormat="1" ht="15.75">
      <c r="E12" s="483" t="s">
        <v>335</v>
      </c>
      <c r="K12" s="483"/>
      <c r="Q12" s="483" t="s">
        <v>335</v>
      </c>
    </row>
    <row r="13" spans="5:17" s="162" customFormat="1" ht="15.75">
      <c r="E13" s="483" t="s">
        <v>336</v>
      </c>
      <c r="K13" s="483"/>
      <c r="Q13" s="483" t="s">
        <v>336</v>
      </c>
    </row>
    <row r="14" spans="5:17" s="483" customFormat="1" ht="15.75">
      <c r="E14" s="483" t="s">
        <v>337</v>
      </c>
      <c r="F14" s="162"/>
      <c r="G14" s="162"/>
      <c r="H14" s="162"/>
      <c r="I14" s="162"/>
      <c r="J14" s="162"/>
      <c r="Q14" s="483" t="s">
        <v>337</v>
      </c>
    </row>
    <row r="15" spans="5:17" s="162" customFormat="1" ht="15.75">
      <c r="E15" s="649" t="s">
        <v>338</v>
      </c>
      <c r="F15" s="501"/>
      <c r="K15" s="501"/>
      <c r="Q15" s="649" t="s">
        <v>338</v>
      </c>
    </row>
    <row r="16" s="162" customFormat="1" ht="12.75"/>
    <row r="17" s="162" customFormat="1" ht="12.75"/>
    <row r="18" s="162" customFormat="1" ht="12.75"/>
    <row r="19" spans="8:19" s="162" customFormat="1" ht="18">
      <c r="H19" s="484" t="s">
        <v>281</v>
      </c>
      <c r="Q19" s="716" t="s">
        <v>77</v>
      </c>
      <c r="R19" s="716"/>
      <c r="S19" s="716"/>
    </row>
    <row r="20" s="162" customFormat="1" ht="12.75"/>
    <row r="21" spans="8:17" s="162" customFormat="1" ht="15.75">
      <c r="H21" s="483" t="s">
        <v>339</v>
      </c>
      <c r="Q21" s="483"/>
    </row>
    <row r="22" spans="8:17" s="162" customFormat="1" ht="15.75">
      <c r="H22" s="483" t="s">
        <v>340</v>
      </c>
      <c r="Q22" s="483"/>
    </row>
    <row r="23" spans="8:17" s="162" customFormat="1" ht="15.75">
      <c r="H23" s="483" t="s">
        <v>335</v>
      </c>
      <c r="Q23" s="483"/>
    </row>
    <row r="24" spans="8:17" s="162" customFormat="1" ht="15.75">
      <c r="H24" s="483" t="s">
        <v>341</v>
      </c>
      <c r="I24" s="483"/>
      <c r="Q24" s="483"/>
    </row>
    <row r="25" spans="8:9" s="162" customFormat="1" ht="15.75">
      <c r="H25" s="483"/>
      <c r="I25" s="483"/>
    </row>
    <row r="26" spans="8:9" s="162" customFormat="1" ht="15.75">
      <c r="H26" s="483"/>
      <c r="I26" s="483"/>
    </row>
    <row r="27" spans="8:9" s="162" customFormat="1" ht="15.75">
      <c r="H27" s="483"/>
      <c r="I27" s="483"/>
    </row>
    <row r="28" s="162" customFormat="1" ht="12.75"/>
    <row r="29" s="162" customFormat="1" ht="12.75"/>
  </sheetData>
  <sheetProtection sheet="1" selectLockedCells="1"/>
  <protectedRanges>
    <protectedRange sqref="D2 F4 K4 I5" name="Bereich1_1"/>
    <protectedRange sqref="H3 N3:O3" name="Bereich1_2_1"/>
  </protectedRanges>
  <mergeCells count="11">
    <mergeCell ref="D1:P1"/>
    <mergeCell ref="D2:P2"/>
    <mergeCell ref="E3:G3"/>
    <mergeCell ref="O3:P3"/>
    <mergeCell ref="Q19:S19"/>
    <mergeCell ref="Q8:S8"/>
    <mergeCell ref="E8:N8"/>
    <mergeCell ref="F4:H4"/>
    <mergeCell ref="M4:N4"/>
    <mergeCell ref="A5:H5"/>
    <mergeCell ref="I5:M5"/>
  </mergeCells>
  <hyperlinks>
    <hyperlink ref="E15" r:id="rId1" display="hans.mustermann@web.de"/>
    <hyperlink ref="Q15" r:id="rId2" display="hans.mustermann@web.de"/>
  </hyperlink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88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58"/>
  <sheetViews>
    <sheetView zoomScalePageLayoutView="0" workbookViewId="0" topLeftCell="B10">
      <selection activeCell="N54" sqref="N54"/>
    </sheetView>
  </sheetViews>
  <sheetFormatPr defaultColWidth="11.421875" defaultRowHeight="12.75"/>
  <cols>
    <col min="1" max="1" width="5.7109375" style="28" hidden="1" customWidth="1"/>
    <col min="2" max="2" width="4.57421875" style="408" customWidth="1"/>
    <col min="3" max="3" width="7.28125" style="408" bestFit="1" customWidth="1"/>
    <col min="4" max="4" width="7.28125" style="408" customWidth="1"/>
    <col min="5" max="5" width="5.28125" style="49" customWidth="1"/>
    <col min="6" max="6" width="21.7109375" style="408" customWidth="1"/>
    <col min="7" max="7" width="0.85546875" style="408" customWidth="1"/>
    <col min="8" max="8" width="10.8515625" style="408" customWidth="1"/>
    <col min="9" max="9" width="2.7109375" style="408" customWidth="1"/>
    <col min="10" max="10" width="10.28125" style="408" customWidth="1"/>
    <col min="11" max="11" width="4.28125" style="408" customWidth="1"/>
    <col min="12" max="12" width="1.7109375" style="408" customWidth="1"/>
    <col min="13" max="14" width="4.28125" style="408" customWidth="1"/>
    <col min="15" max="15" width="1.7109375" style="408" customWidth="1"/>
    <col min="16" max="17" width="4.28125" style="408" customWidth="1"/>
    <col min="18" max="18" width="1.7109375" style="408" customWidth="1"/>
    <col min="19" max="19" width="4.28125" style="408" customWidth="1"/>
    <col min="20" max="20" width="21.7109375" style="408" customWidth="1"/>
    <col min="21" max="21" width="10.28125" style="408" customWidth="1"/>
    <col min="22" max="22" width="2.7109375" style="28" customWidth="1"/>
    <col min="23" max="23" width="10.28125" style="28" customWidth="1"/>
    <col min="24" max="24" width="25.8515625" style="408" hidden="1" customWidth="1"/>
    <col min="25" max="25" width="11.421875" style="408" hidden="1" customWidth="1"/>
    <col min="26" max="31" width="4.8515625" style="49" hidden="1" customWidth="1"/>
    <col min="32" max="32" width="5.7109375" style="49" customWidth="1"/>
    <col min="33" max="33" width="1.7109375" style="49" customWidth="1"/>
    <col min="34" max="35" width="5.7109375" style="49" customWidth="1"/>
    <col min="36" max="36" width="1.7109375" style="49" customWidth="1"/>
    <col min="37" max="38" width="5.7109375" style="49" customWidth="1"/>
    <col min="39" max="39" width="1.7109375" style="49" customWidth="1"/>
    <col min="40" max="40" width="5.7109375" style="49" customWidth="1"/>
    <col min="41" max="16384" width="11.421875" style="408" customWidth="1"/>
  </cols>
  <sheetData>
    <row r="1" spans="1:40" s="282" customFormat="1" ht="22.5" customHeight="1">
      <c r="A1" s="268"/>
      <c r="E1" s="745" t="s">
        <v>123</v>
      </c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234"/>
      <c r="V1" s="268"/>
      <c r="W1" s="268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40" s="282" customFormat="1" ht="6.75" customHeight="1">
      <c r="A2" s="268"/>
      <c r="E2" s="283"/>
      <c r="V2" s="268"/>
      <c r="W2" s="268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40" s="282" customFormat="1" ht="18" customHeight="1">
      <c r="A3" s="268"/>
      <c r="C3" s="520"/>
      <c r="D3" s="234"/>
      <c r="E3" s="442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234"/>
      <c r="W3" s="234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</row>
    <row r="4" spans="2:40" s="234" customFormat="1" ht="17.25" customHeight="1">
      <c r="B4" s="728" t="str">
        <f>IF(Mannschaften!I4="","",Mannschaften!I4)</f>
        <v>Hallerstein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</row>
    <row r="5" spans="1:40" s="282" customFormat="1" ht="16.5" customHeight="1">
      <c r="A5" s="268"/>
      <c r="B5" s="718" t="str">
        <f>Mannschaften!A5</f>
        <v>Ausrichter:     </v>
      </c>
      <c r="C5" s="718"/>
      <c r="D5" s="718"/>
      <c r="E5" s="718"/>
      <c r="F5" s="718"/>
      <c r="G5" s="718"/>
      <c r="H5" s="718"/>
      <c r="I5" s="718"/>
      <c r="J5" s="718"/>
      <c r="K5" s="746" t="str">
        <f>IF(Mannschaften!N5="","",Mannschaften!N5)</f>
        <v>TSV Hallerstein</v>
      </c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282" customFormat="1" ht="3.75" customHeight="1">
      <c r="A6" s="268"/>
      <c r="B6" s="443"/>
      <c r="C6" s="443"/>
      <c r="D6" s="443"/>
      <c r="E6" s="444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269"/>
      <c r="W6" s="269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s="282" customFormat="1" ht="16.5" customHeight="1">
      <c r="A7" s="268"/>
      <c r="B7" s="457"/>
      <c r="C7" s="521"/>
      <c r="D7" s="285"/>
      <c r="E7" s="445"/>
      <c r="F7" s="285"/>
      <c r="G7" s="285"/>
      <c r="H7" s="731" t="s">
        <v>110</v>
      </c>
      <c r="I7" s="731"/>
      <c r="J7" s="731"/>
      <c r="K7" s="732">
        <f>Mannschaften!P4</f>
        <v>43715</v>
      </c>
      <c r="L7" s="732"/>
      <c r="M7" s="732"/>
      <c r="N7" s="732"/>
      <c r="O7" s="732"/>
      <c r="P7" s="732"/>
      <c r="Q7" s="732"/>
      <c r="R7" s="732"/>
      <c r="S7" s="732"/>
      <c r="T7" s="732"/>
      <c r="U7" s="285"/>
      <c r="V7" s="285"/>
      <c r="W7" s="285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</row>
    <row r="8" spans="1:40" s="282" customFormat="1" ht="6" customHeight="1" thickBot="1">
      <c r="A8" s="268"/>
      <c r="B8" s="457"/>
      <c r="C8" s="457"/>
      <c r="D8" s="457"/>
      <c r="E8" s="458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269"/>
      <c r="W8" s="269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</row>
    <row r="9" spans="1:40" s="282" customFormat="1" ht="17.25" customHeight="1" thickBot="1">
      <c r="A9" s="268"/>
      <c r="E9" s="283"/>
      <c r="F9" s="736" t="s">
        <v>5</v>
      </c>
      <c r="G9" s="737"/>
      <c r="H9" s="738"/>
      <c r="I9" s="450"/>
      <c r="J9" s="731" t="str">
        <f>Mannschaften!K3</f>
        <v>m U18</v>
      </c>
      <c r="K9" s="731"/>
      <c r="L9" s="731"/>
      <c r="M9" s="731"/>
      <c r="N9" s="731"/>
      <c r="O9" s="731"/>
      <c r="P9" s="731"/>
      <c r="Q9" s="731"/>
      <c r="R9" s="731"/>
      <c r="S9" s="450"/>
      <c r="T9" s="733" t="s">
        <v>6</v>
      </c>
      <c r="U9" s="734"/>
      <c r="V9" s="735"/>
      <c r="W9" s="268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</row>
    <row r="10" spans="1:40" s="282" customFormat="1" ht="17.25" customHeight="1">
      <c r="A10" s="268"/>
      <c r="E10" s="283"/>
      <c r="F10" s="448" t="str">
        <f>Mannschaften!C11</f>
        <v>TV Vaihingen/Enz</v>
      </c>
      <c r="G10" s="459" t="str">
        <f>IF(Mannschaften!C10="","",Mannschaften!C10)</f>
        <v>Süd 1</v>
      </c>
      <c r="H10" s="460"/>
      <c r="I10" s="739">
        <f>IF('Gruppe A'!AR26=0,"",IF('Gruppe A'!AR26=15,"","Achtung!  Punktgleichheit in Gruppe A"))</f>
      </c>
      <c r="J10" s="740"/>
      <c r="K10" s="740"/>
      <c r="L10" s="740"/>
      <c r="M10" s="740"/>
      <c r="N10" s="740"/>
      <c r="O10" s="740"/>
      <c r="P10" s="740"/>
      <c r="Q10" s="740"/>
      <c r="R10" s="740"/>
      <c r="S10" s="741"/>
      <c r="T10" s="448" t="str">
        <f>Mannschaften!C146</f>
        <v>TV Segnitz</v>
      </c>
      <c r="U10" s="459" t="str">
        <f>IF(Mannschaften!C145="","",Mannschaften!C145)</f>
        <v>Süd 2</v>
      </c>
      <c r="V10" s="272"/>
      <c r="W10" s="268"/>
      <c r="X10" s="268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</row>
    <row r="11" spans="1:40" s="282" customFormat="1" ht="17.25" customHeight="1">
      <c r="A11" s="268"/>
      <c r="C11" s="461"/>
      <c r="E11" s="283"/>
      <c r="F11" s="451" t="str">
        <f>Mannschaften!I11</f>
        <v>NlV Stuttgart</v>
      </c>
      <c r="G11" s="462" t="str">
        <f>IF(Mannschaften!I10="","",Mannschaften!I10)</f>
        <v>Süd 3</v>
      </c>
      <c r="H11" s="463"/>
      <c r="I11" s="739">
        <f>IF('Gruppe A'!AR26=0,"",IF('Gruppe A'!AR26=15,"","Bitte Platzierung selbst ermitteln"))</f>
      </c>
      <c r="J11" s="740"/>
      <c r="K11" s="740"/>
      <c r="L11" s="740"/>
      <c r="M11" s="740"/>
      <c r="N11" s="740"/>
      <c r="O11" s="740"/>
      <c r="P11" s="740"/>
      <c r="Q11" s="740"/>
      <c r="R11" s="740"/>
      <c r="S11" s="741"/>
      <c r="T11" s="451" t="str">
        <f>Mannschaften!I146</f>
        <v>TV Hallerstein</v>
      </c>
      <c r="U11" s="462" t="str">
        <f>IF(Mannschaften!I145="","",Mannschaften!I145)</f>
        <v>Ausrichter</v>
      </c>
      <c r="V11" s="273"/>
      <c r="W11" s="268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</row>
    <row r="12" spans="1:40" s="282" customFormat="1" ht="17.25" customHeight="1">
      <c r="A12" s="268"/>
      <c r="E12" s="283"/>
      <c r="F12" s="451" t="str">
        <f>Mannschaften!N11</f>
        <v>TB Oppau</v>
      </c>
      <c r="G12" s="462" t="str">
        <f>IF(Mannschaften!N10="","",Mannschaften!N10)</f>
        <v>West 1</v>
      </c>
      <c r="H12" s="463"/>
      <c r="I12" s="742"/>
      <c r="J12" s="743"/>
      <c r="K12" s="743"/>
      <c r="L12" s="743"/>
      <c r="M12" s="743"/>
      <c r="N12" s="743"/>
      <c r="O12" s="743"/>
      <c r="P12" s="743"/>
      <c r="Q12" s="743"/>
      <c r="R12" s="743"/>
      <c r="S12" s="744"/>
      <c r="T12" s="451" t="str">
        <f>Mannschaften!N146</f>
        <v>Ahlhorner SV</v>
      </c>
      <c r="U12" s="462" t="str">
        <f>IF(Mannschaften!N145="","",Mannschaften!N145)</f>
        <v>Nord 3</v>
      </c>
      <c r="V12" s="273"/>
      <c r="W12" s="268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</row>
    <row r="13" spans="1:40" s="282" customFormat="1" ht="17.25" customHeight="1">
      <c r="A13" s="268"/>
      <c r="E13" s="283"/>
      <c r="F13" s="451" t="str">
        <f>Mannschaften!S11</f>
        <v>TuS Wickrath</v>
      </c>
      <c r="G13" s="462" t="str">
        <f>IF(Mannschaften!S10="","",Mannschaften!S10)</f>
        <v>Nord 2</v>
      </c>
      <c r="H13" s="463"/>
      <c r="I13" s="739">
        <f>IF('Gruppe B'!AR26=0,"",IF('Gruppe B'!AR26=15,"","Achtung!  Punktgleichheit in Gruppe B"))</f>
      </c>
      <c r="J13" s="740"/>
      <c r="K13" s="740"/>
      <c r="L13" s="740"/>
      <c r="M13" s="740"/>
      <c r="N13" s="740"/>
      <c r="O13" s="740"/>
      <c r="P13" s="740"/>
      <c r="Q13" s="740"/>
      <c r="R13" s="740"/>
      <c r="S13" s="741"/>
      <c r="T13" s="451" t="str">
        <f>Mannschaften!S146</f>
        <v>TV Brettorf</v>
      </c>
      <c r="U13" s="462" t="str">
        <f>IF(Mannschaften!S145="","",Mannschaften!S145)</f>
        <v>Nord 1</v>
      </c>
      <c r="V13" s="273"/>
      <c r="W13" s="268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</row>
    <row r="14" spans="1:40" s="282" customFormat="1" ht="17.25" customHeight="1" thickBot="1">
      <c r="A14" s="268"/>
      <c r="E14" s="283"/>
      <c r="F14" s="452" t="str">
        <f>Mannschaften!X11</f>
        <v>Berliner Turnerschaft</v>
      </c>
      <c r="G14" s="464" t="str">
        <f>IF(Mannschaften!X10="","",Mannschaften!X10)</f>
        <v>Ost 2</v>
      </c>
      <c r="H14" s="465"/>
      <c r="I14" s="739">
        <f>IF('Gruppe B'!AR26=0,"",IF('Gruppe B'!AR26=15,"","Bitte Platzierung selbst ermitteln"))</f>
      </c>
      <c r="J14" s="740"/>
      <c r="K14" s="740"/>
      <c r="L14" s="740"/>
      <c r="M14" s="740"/>
      <c r="N14" s="740"/>
      <c r="O14" s="740"/>
      <c r="P14" s="740"/>
      <c r="Q14" s="740"/>
      <c r="R14" s="740"/>
      <c r="S14" s="741"/>
      <c r="T14" s="452" t="str">
        <f>Mannschaften!X146</f>
        <v>TSV Lola</v>
      </c>
      <c r="U14" s="464" t="str">
        <f>IF(Mannschaften!X145="","",Mannschaften!X145)</f>
        <v>Ost 1</v>
      </c>
      <c r="V14" s="275"/>
      <c r="W14" s="268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</row>
    <row r="15" spans="1:40" s="282" customFormat="1" ht="12.75" customHeight="1" hidden="1" thickBot="1">
      <c r="A15" s="268"/>
      <c r="B15" s="753"/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3"/>
      <c r="O15" s="753"/>
      <c r="P15" s="753"/>
      <c r="Q15" s="753"/>
      <c r="R15" s="753"/>
      <c r="S15" s="753"/>
      <c r="T15" s="753"/>
      <c r="U15" s="753"/>
      <c r="V15" s="753"/>
      <c r="W15" s="75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</row>
    <row r="16" spans="1:40" s="500" customFormat="1" ht="18" customHeight="1" hidden="1" thickBot="1">
      <c r="A16" s="504"/>
      <c r="B16" s="522">
        <v>2</v>
      </c>
      <c r="C16" s="522">
        <v>3</v>
      </c>
      <c r="D16" s="505">
        <v>4</v>
      </c>
      <c r="E16" s="505">
        <v>5</v>
      </c>
      <c r="F16" s="505">
        <v>6</v>
      </c>
      <c r="G16" s="505">
        <v>7</v>
      </c>
      <c r="H16" s="505">
        <v>8</v>
      </c>
      <c r="I16" s="505">
        <v>9</v>
      </c>
      <c r="J16" s="505">
        <v>10</v>
      </c>
      <c r="K16" s="505">
        <v>11</v>
      </c>
      <c r="L16" s="505"/>
      <c r="M16" s="505">
        <v>13</v>
      </c>
      <c r="N16" s="505">
        <v>14</v>
      </c>
      <c r="O16" s="505"/>
      <c r="P16" s="505">
        <v>16</v>
      </c>
      <c r="Q16" s="505">
        <v>17</v>
      </c>
      <c r="R16" s="505"/>
      <c r="S16" s="505">
        <v>19</v>
      </c>
      <c r="T16" s="505">
        <v>20</v>
      </c>
      <c r="U16" s="505">
        <v>21</v>
      </c>
      <c r="V16" s="505">
        <v>22</v>
      </c>
      <c r="W16" s="505">
        <v>23</v>
      </c>
      <c r="X16" s="505">
        <v>24</v>
      </c>
      <c r="Y16" s="505">
        <v>25</v>
      </c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</row>
    <row r="17" spans="1:40" s="282" customFormat="1" ht="17.25" customHeight="1" thickBot="1">
      <c r="A17" s="530"/>
      <c r="B17" s="729" t="s">
        <v>0</v>
      </c>
      <c r="C17" s="729" t="s">
        <v>1</v>
      </c>
      <c r="D17" s="729" t="s">
        <v>141</v>
      </c>
      <c r="E17" s="754" t="s">
        <v>139</v>
      </c>
      <c r="F17" s="747" t="s">
        <v>2</v>
      </c>
      <c r="G17" s="748" t="s">
        <v>7</v>
      </c>
      <c r="H17" s="748" t="s">
        <v>3</v>
      </c>
      <c r="I17" s="748"/>
      <c r="J17" s="749"/>
      <c r="K17" s="733" t="s">
        <v>8</v>
      </c>
      <c r="L17" s="734"/>
      <c r="M17" s="734"/>
      <c r="N17" s="734"/>
      <c r="O17" s="734"/>
      <c r="P17" s="734"/>
      <c r="Q17" s="734"/>
      <c r="R17" s="734"/>
      <c r="S17" s="735"/>
      <c r="T17" s="454" t="s">
        <v>143</v>
      </c>
      <c r="U17" s="747" t="s">
        <v>77</v>
      </c>
      <c r="V17" s="748"/>
      <c r="W17" s="749"/>
      <c r="X17" s="502"/>
      <c r="Y17" s="502"/>
      <c r="Z17" s="756" t="s">
        <v>153</v>
      </c>
      <c r="AA17" s="756" t="s">
        <v>154</v>
      </c>
      <c r="AB17" s="756" t="s">
        <v>155</v>
      </c>
      <c r="AC17" s="756" t="s">
        <v>156</v>
      </c>
      <c r="AD17" s="756" t="s">
        <v>157</v>
      </c>
      <c r="AE17" s="756" t="s">
        <v>158</v>
      </c>
      <c r="AF17" s="758" t="s">
        <v>35</v>
      </c>
      <c r="AG17" s="759"/>
      <c r="AH17" s="760"/>
      <c r="AI17" s="758" t="s">
        <v>134</v>
      </c>
      <c r="AJ17" s="759"/>
      <c r="AK17" s="760"/>
      <c r="AL17" s="758" t="s">
        <v>34</v>
      </c>
      <c r="AM17" s="759"/>
      <c r="AN17" s="760"/>
    </row>
    <row r="18" spans="1:40" s="282" customFormat="1" ht="17.25" customHeight="1" thickBot="1">
      <c r="A18" s="531"/>
      <c r="B18" s="730"/>
      <c r="C18" s="730"/>
      <c r="D18" s="730"/>
      <c r="E18" s="755"/>
      <c r="F18" s="750"/>
      <c r="G18" s="751"/>
      <c r="H18" s="751"/>
      <c r="I18" s="751"/>
      <c r="J18" s="752"/>
      <c r="K18" s="733" t="s">
        <v>140</v>
      </c>
      <c r="L18" s="734"/>
      <c r="M18" s="735"/>
      <c r="N18" s="733" t="s">
        <v>132</v>
      </c>
      <c r="O18" s="734"/>
      <c r="P18" s="735"/>
      <c r="Q18" s="733" t="s">
        <v>133</v>
      </c>
      <c r="R18" s="734"/>
      <c r="S18" s="735"/>
      <c r="T18" s="456" t="s">
        <v>4</v>
      </c>
      <c r="U18" s="750"/>
      <c r="V18" s="751"/>
      <c r="W18" s="752"/>
      <c r="X18" s="503"/>
      <c r="Y18" s="503"/>
      <c r="Z18" s="757"/>
      <c r="AA18" s="757"/>
      <c r="AB18" s="757"/>
      <c r="AC18" s="757"/>
      <c r="AD18" s="757"/>
      <c r="AE18" s="757"/>
      <c r="AF18" s="761"/>
      <c r="AG18" s="762"/>
      <c r="AH18" s="763"/>
      <c r="AI18" s="761"/>
      <c r="AJ18" s="762"/>
      <c r="AK18" s="763"/>
      <c r="AL18" s="761"/>
      <c r="AM18" s="762"/>
      <c r="AN18" s="763"/>
    </row>
    <row r="19" spans="1:40" s="282" customFormat="1" ht="17.25" customHeight="1" thickBot="1">
      <c r="A19" s="545"/>
      <c r="B19" s="544"/>
      <c r="C19" s="560">
        <v>0.4166666666666667</v>
      </c>
      <c r="D19" s="747" t="s">
        <v>239</v>
      </c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R19" s="748"/>
      <c r="S19" s="748"/>
      <c r="T19" s="748"/>
      <c r="U19" s="748"/>
      <c r="V19" s="748"/>
      <c r="W19" s="749"/>
      <c r="X19" s="500"/>
      <c r="Y19" s="500"/>
      <c r="Z19" s="468"/>
      <c r="AA19" s="468"/>
      <c r="AB19" s="468"/>
      <c r="AC19" s="468"/>
      <c r="AD19" s="468"/>
      <c r="AE19" s="468"/>
      <c r="AF19" s="546"/>
      <c r="AG19" s="547"/>
      <c r="AH19" s="548"/>
      <c r="AI19" s="546"/>
      <c r="AJ19" s="547"/>
      <c r="AK19" s="548"/>
      <c r="AL19" s="546"/>
      <c r="AM19" s="547"/>
      <c r="AN19" s="548"/>
    </row>
    <row r="20" spans="1:43" s="282" customFormat="1" ht="17.25" customHeight="1" thickBot="1">
      <c r="A20" s="528">
        <f>D20</f>
        <v>1</v>
      </c>
      <c r="B20" s="391">
        <v>1</v>
      </c>
      <c r="C20" s="560">
        <v>0.4375</v>
      </c>
      <c r="D20" s="532">
        <v>1</v>
      </c>
      <c r="E20" s="466">
        <v>1</v>
      </c>
      <c r="F20" s="393" t="str">
        <f>F10</f>
        <v>TV Vaihingen/Enz</v>
      </c>
      <c r="G20" s="140" t="s">
        <v>7</v>
      </c>
      <c r="H20" s="723" t="str">
        <f>F11</f>
        <v>NlV Stuttgart</v>
      </c>
      <c r="I20" s="724"/>
      <c r="J20" s="724"/>
      <c r="K20" s="475"/>
      <c r="L20" s="140" t="s">
        <v>7</v>
      </c>
      <c r="M20" s="477"/>
      <c r="N20" s="475"/>
      <c r="O20" s="140" t="s">
        <v>7</v>
      </c>
      <c r="P20" s="477"/>
      <c r="Q20" s="475"/>
      <c r="R20" s="140" t="s">
        <v>7</v>
      </c>
      <c r="S20" s="477"/>
      <c r="T20" s="394" t="str">
        <f>F14</f>
        <v>Berliner Turnerschaft</v>
      </c>
      <c r="U20" s="722"/>
      <c r="V20" s="722"/>
      <c r="W20" s="722"/>
      <c r="X20" s="395" t="str">
        <f>IF(F20=$F$10,$X$51,IF(F20=$F$11,$X$51,IF(F20=$F$12,$X$51,IF(F20=$F$13,$X$51,IF(F20=$F$14,$X$51,$X$52)))))</f>
        <v>Vorrunde Gruppe A</v>
      </c>
      <c r="Y20" s="396">
        <f>$K$7</f>
        <v>43715</v>
      </c>
      <c r="Z20" s="397">
        <f>IF(M20="","",IF(K20&gt;M20,1,0))</f>
      </c>
      <c r="AA20" s="397">
        <f>IF(P20="","",IF(N20&gt;P20,1,0))</f>
      </c>
      <c r="AB20" s="397">
        <f>IF(S20="","",IF(Q20&gt;S20,1,0))</f>
      </c>
      <c r="AC20" s="397">
        <f>IF(Z20="","",IF(Z20=0,1,0))</f>
      </c>
      <c r="AD20" s="397">
        <f>IF(AA20="","",IF(AA20=0,1,0))</f>
      </c>
      <c r="AE20" s="397">
        <f>IF(AB20="","",IF(AB20=0,1,0))</f>
      </c>
      <c r="AF20" s="276">
        <f>IF(P20="",0,IF(Q20=0,K20+N20,K20+N20+Q20))</f>
        <v>0</v>
      </c>
      <c r="AG20" s="277" t="s">
        <v>7</v>
      </c>
      <c r="AH20" s="278">
        <f>IF(P20="",0,IF(S20="",M20+P20,M20+P20+S20))</f>
        <v>0</v>
      </c>
      <c r="AI20" s="276">
        <f>IF(AA20="",0,IF(AB20="",Z20+AA20,Z20+AA20+AB20))</f>
        <v>0</v>
      </c>
      <c r="AJ20" s="277" t="s">
        <v>7</v>
      </c>
      <c r="AK20" s="278">
        <f>IF(AA20="",0,IF(AE20="",AC20+AD20,AC20+AD20+AE20))</f>
        <v>0</v>
      </c>
      <c r="AL20" s="276">
        <f>IF(AI20=2,2,IF(AK20=2,0,AI20))</f>
        <v>0</v>
      </c>
      <c r="AM20" s="277" t="s">
        <v>7</v>
      </c>
      <c r="AN20" s="278">
        <f>IF(AK20=2,2,IF(AI20=2,0,AK20))</f>
        <v>0</v>
      </c>
      <c r="AO20" s="398"/>
      <c r="AP20" s="668"/>
      <c r="AQ20" s="268"/>
    </row>
    <row r="21" spans="1:42" s="282" customFormat="1" ht="17.25" customHeight="1" thickBot="1">
      <c r="A21" s="526">
        <f aca="true" t="shared" si="0" ref="A21:A50">D21</f>
        <v>2</v>
      </c>
      <c r="B21" s="549">
        <f>B20</f>
        <v>1</v>
      </c>
      <c r="C21" s="551">
        <f>C20</f>
        <v>0.4375</v>
      </c>
      <c r="D21" s="400">
        <v>2</v>
      </c>
      <c r="E21" s="467">
        <v>2</v>
      </c>
      <c r="F21" s="401" t="str">
        <f>T10</f>
        <v>TV Segnitz</v>
      </c>
      <c r="G21" s="141" t="s">
        <v>7</v>
      </c>
      <c r="H21" s="726" t="str">
        <f>T11</f>
        <v>TV Hallerstein</v>
      </c>
      <c r="I21" s="727"/>
      <c r="J21" s="727"/>
      <c r="K21" s="476"/>
      <c r="L21" s="141" t="s">
        <v>7</v>
      </c>
      <c r="M21" s="478"/>
      <c r="N21" s="476"/>
      <c r="O21" s="141" t="s">
        <v>7</v>
      </c>
      <c r="P21" s="478"/>
      <c r="Q21" s="476"/>
      <c r="R21" s="141" t="s">
        <v>7</v>
      </c>
      <c r="S21" s="478"/>
      <c r="T21" s="394" t="str">
        <f>T14</f>
        <v>TSV Lola</v>
      </c>
      <c r="U21" s="721"/>
      <c r="V21" s="721"/>
      <c r="W21" s="721"/>
      <c r="X21" s="402" t="str">
        <f>IF(F22=$F$10,$X$51,IF(F22=$F$11,$X$51,IF(F22=$F$12,$X$51,IF(F22=$F$13,$X$51,IF(F22=$F$14,$X$51,$X$52)))))</f>
        <v>Vorrunde Gruppe A</v>
      </c>
      <c r="Y21" s="403">
        <f aca="true" t="shared" si="1" ref="Y21:Y29">$K$7</f>
        <v>43715</v>
      </c>
      <c r="Z21" s="404">
        <f aca="true" t="shared" si="2" ref="Z21:Z39">IF(M21="","",IF(K21&gt;M21,1,0))</f>
      </c>
      <c r="AA21" s="404">
        <f aca="true" t="shared" si="3" ref="AA21:AA39">IF(P21="","",IF(N21&gt;P21,1,0))</f>
      </c>
      <c r="AB21" s="404">
        <f aca="true" t="shared" si="4" ref="AB21:AB39">IF(S21="","",IF(Q21&gt;S21,1,0))</f>
      </c>
      <c r="AC21" s="404">
        <f aca="true" t="shared" si="5" ref="AC21:AC39">IF(Z21="","",IF(Z21=0,1,0))</f>
      </c>
      <c r="AD21" s="404">
        <f aca="true" t="shared" si="6" ref="AD21:AD39">IF(AA21="","",IF(AA21=0,1,0))</f>
      </c>
      <c r="AE21" s="404">
        <f aca="true" t="shared" si="7" ref="AE21:AE39">IF(AB21="","",IF(AB21=0,1,0))</f>
      </c>
      <c r="AF21" s="279">
        <f aca="true" t="shared" si="8" ref="AF21:AF39">IF(P21="",0,IF(Q21=0,K21+N21,K21+N21+Q21))</f>
        <v>0</v>
      </c>
      <c r="AG21" s="280" t="s">
        <v>7</v>
      </c>
      <c r="AH21" s="281">
        <f aca="true" t="shared" si="9" ref="AH21:AH39">IF(P21="",0,IF(S21="",M21+P21,M21+P21+S21))</f>
        <v>0</v>
      </c>
      <c r="AI21" s="279">
        <f aca="true" t="shared" si="10" ref="AI21:AI39">IF(AA21="",0,IF(AB21="",Z21+AA21,Z21+AA21+AB21))</f>
        <v>0</v>
      </c>
      <c r="AJ21" s="280" t="s">
        <v>7</v>
      </c>
      <c r="AK21" s="281">
        <f aca="true" t="shared" si="11" ref="AK21:AK39">IF(AA21="",0,IF(AE21="",AC21+AD21,AC21+AD21+AE21))</f>
        <v>0</v>
      </c>
      <c r="AL21" s="279">
        <f aca="true" t="shared" si="12" ref="AL21:AL39">IF(AI21=2,2,IF(AK21=2,0,AI21))</f>
        <v>0</v>
      </c>
      <c r="AM21" s="280" t="s">
        <v>7</v>
      </c>
      <c r="AN21" s="281">
        <f aca="true" t="shared" si="13" ref="AN21:AN39">IF(AK21=2,2,IF(AI21=2,0,AK21))</f>
        <v>0</v>
      </c>
      <c r="AO21" s="398"/>
      <c r="AP21" s="398"/>
    </row>
    <row r="22" spans="1:43" s="282" customFormat="1" ht="17.25" customHeight="1" thickBot="1">
      <c r="A22" s="526">
        <f t="shared" si="0"/>
        <v>3</v>
      </c>
      <c r="B22" s="391">
        <v>2</v>
      </c>
      <c r="C22" s="550" t="s">
        <v>354</v>
      </c>
      <c r="D22" s="392">
        <v>3</v>
      </c>
      <c r="E22" s="466">
        <v>1</v>
      </c>
      <c r="F22" s="393" t="str">
        <f>F12</f>
        <v>TB Oppau</v>
      </c>
      <c r="G22" s="140" t="s">
        <v>7</v>
      </c>
      <c r="H22" s="723" t="str">
        <f>F13</f>
        <v>TuS Wickrath</v>
      </c>
      <c r="I22" s="724"/>
      <c r="J22" s="724"/>
      <c r="K22" s="475"/>
      <c r="L22" s="140" t="s">
        <v>7</v>
      </c>
      <c r="M22" s="477"/>
      <c r="N22" s="475"/>
      <c r="O22" s="140" t="s">
        <v>7</v>
      </c>
      <c r="P22" s="477"/>
      <c r="Q22" s="475"/>
      <c r="R22" s="140" t="s">
        <v>7</v>
      </c>
      <c r="S22" s="477"/>
      <c r="T22" s="394" t="str">
        <f>F11</f>
        <v>NlV Stuttgart</v>
      </c>
      <c r="U22" s="722"/>
      <c r="V22" s="722"/>
      <c r="W22" s="722"/>
      <c r="X22" s="395" t="str">
        <f>IF(F21=$F$10,$X$51,IF(F21=$F$11,$X$51,IF(F21=$F$12,$X$51,IF(F21=$F$13,$X$51,IF(F21=$F$14,$X$51,$X$52)))))</f>
        <v>Vorrunde Gruppe B</v>
      </c>
      <c r="Y22" s="396">
        <f t="shared" si="1"/>
        <v>43715</v>
      </c>
      <c r="Z22" s="397">
        <f t="shared" si="2"/>
      </c>
      <c r="AA22" s="397">
        <f t="shared" si="3"/>
      </c>
      <c r="AB22" s="397">
        <f t="shared" si="4"/>
      </c>
      <c r="AC22" s="397">
        <f t="shared" si="5"/>
      </c>
      <c r="AD22" s="397">
        <f t="shared" si="6"/>
      </c>
      <c r="AE22" s="397">
        <f t="shared" si="7"/>
      </c>
      <c r="AF22" s="276">
        <f t="shared" si="8"/>
        <v>0</v>
      </c>
      <c r="AG22" s="277" t="s">
        <v>7</v>
      </c>
      <c r="AH22" s="278">
        <f t="shared" si="9"/>
        <v>0</v>
      </c>
      <c r="AI22" s="276">
        <f t="shared" si="10"/>
        <v>0</v>
      </c>
      <c r="AJ22" s="277" t="s">
        <v>7</v>
      </c>
      <c r="AK22" s="278">
        <f t="shared" si="11"/>
        <v>0</v>
      </c>
      <c r="AL22" s="276">
        <f t="shared" si="12"/>
        <v>0</v>
      </c>
      <c r="AM22" s="277" t="s">
        <v>7</v>
      </c>
      <c r="AN22" s="278">
        <f t="shared" si="13"/>
        <v>0</v>
      </c>
      <c r="AO22" s="398"/>
      <c r="AP22"/>
      <c r="AQ22" s="398"/>
    </row>
    <row r="23" spans="1:43" s="282" customFormat="1" ht="17.25" customHeight="1" thickBot="1">
      <c r="A23" s="526">
        <f t="shared" si="0"/>
        <v>4</v>
      </c>
      <c r="B23" s="549">
        <f>B22</f>
        <v>2</v>
      </c>
      <c r="C23" s="551" t="str">
        <f>C22</f>
        <v>anschl.</v>
      </c>
      <c r="D23" s="400">
        <v>4</v>
      </c>
      <c r="E23" s="467">
        <v>2</v>
      </c>
      <c r="F23" s="401" t="str">
        <f>T12</f>
        <v>Ahlhorner SV</v>
      </c>
      <c r="G23" s="141" t="s">
        <v>7</v>
      </c>
      <c r="H23" s="726" t="str">
        <f>T13</f>
        <v>TV Brettorf</v>
      </c>
      <c r="I23" s="727"/>
      <c r="J23" s="727"/>
      <c r="K23" s="476"/>
      <c r="L23" s="141" t="s">
        <v>7</v>
      </c>
      <c r="M23" s="478"/>
      <c r="N23" s="476"/>
      <c r="O23" s="141" t="s">
        <v>7</v>
      </c>
      <c r="P23" s="478"/>
      <c r="Q23" s="476"/>
      <c r="R23" s="141" t="s">
        <v>7</v>
      </c>
      <c r="S23" s="478"/>
      <c r="T23" s="394" t="str">
        <f>T11</f>
        <v>TV Hallerstein</v>
      </c>
      <c r="U23" s="721"/>
      <c r="V23" s="721"/>
      <c r="W23" s="721"/>
      <c r="X23" s="402" t="str">
        <f>IF(F23=$F$10,$X$51,IF(F23=$F$11,$X$51,IF(F23=$F$12,$X$51,IF(F23=$F$13,$X$51,IF(F23=$F$14,$X$51,$X$52)))))</f>
        <v>Vorrunde Gruppe B</v>
      </c>
      <c r="Y23" s="403">
        <f t="shared" si="1"/>
        <v>43715</v>
      </c>
      <c r="Z23" s="404">
        <f t="shared" si="2"/>
      </c>
      <c r="AA23" s="404">
        <f t="shared" si="3"/>
      </c>
      <c r="AB23" s="404">
        <f t="shared" si="4"/>
      </c>
      <c r="AC23" s="404">
        <f t="shared" si="5"/>
      </c>
      <c r="AD23" s="404">
        <f t="shared" si="6"/>
      </c>
      <c r="AE23" s="404">
        <f t="shared" si="7"/>
      </c>
      <c r="AF23" s="279">
        <f t="shared" si="8"/>
        <v>0</v>
      </c>
      <c r="AG23" s="280" t="s">
        <v>7</v>
      </c>
      <c r="AH23" s="281">
        <f t="shared" si="9"/>
        <v>0</v>
      </c>
      <c r="AI23" s="279">
        <f t="shared" si="10"/>
        <v>0</v>
      </c>
      <c r="AJ23" s="280" t="s">
        <v>7</v>
      </c>
      <c r="AK23" s="281">
        <f t="shared" si="11"/>
        <v>0</v>
      </c>
      <c r="AL23" s="279">
        <f t="shared" si="12"/>
        <v>0</v>
      </c>
      <c r="AM23" s="280" t="s">
        <v>7</v>
      </c>
      <c r="AN23" s="281">
        <f t="shared" si="13"/>
        <v>0</v>
      </c>
      <c r="AO23" s="399"/>
      <c r="AQ23" s="234"/>
    </row>
    <row r="24" spans="1:40" s="282" customFormat="1" ht="17.25" customHeight="1" thickBot="1">
      <c r="A24" s="529">
        <f t="shared" si="0"/>
        <v>5</v>
      </c>
      <c r="B24" s="391">
        <v>3</v>
      </c>
      <c r="C24" s="550" t="s">
        <v>354</v>
      </c>
      <c r="D24" s="392">
        <v>5</v>
      </c>
      <c r="E24" s="466">
        <v>1</v>
      </c>
      <c r="F24" s="393" t="str">
        <f>F10</f>
        <v>TV Vaihingen/Enz</v>
      </c>
      <c r="G24" s="140" t="s">
        <v>7</v>
      </c>
      <c r="H24" s="723" t="str">
        <f>F14</f>
        <v>Berliner Turnerschaft</v>
      </c>
      <c r="I24" s="724"/>
      <c r="J24" s="724"/>
      <c r="K24" s="475"/>
      <c r="L24" s="140" t="s">
        <v>7</v>
      </c>
      <c r="M24" s="477"/>
      <c r="N24" s="475"/>
      <c r="O24" s="140" t="s">
        <v>7</v>
      </c>
      <c r="P24" s="477"/>
      <c r="Q24" s="475"/>
      <c r="R24" s="140" t="s">
        <v>7</v>
      </c>
      <c r="S24" s="477"/>
      <c r="T24" s="394" t="str">
        <f>F12</f>
        <v>TB Oppau</v>
      </c>
      <c r="U24" s="722"/>
      <c r="V24" s="722"/>
      <c r="W24" s="722"/>
      <c r="X24" s="395" t="str">
        <f>IF(F24=$F$10,$X$51,IF(F24=$F$11,$X$51,IF(F24=$F$12,$X$51,IF(F24=$F$13,$X$51,IF(F24=$F$14,$X$51,$X$52)))))</f>
        <v>Vorrunde Gruppe A</v>
      </c>
      <c r="Y24" s="396">
        <f t="shared" si="1"/>
        <v>43715</v>
      </c>
      <c r="Z24" s="397">
        <f t="shared" si="2"/>
      </c>
      <c r="AA24" s="397">
        <f t="shared" si="3"/>
      </c>
      <c r="AB24" s="397">
        <f t="shared" si="4"/>
      </c>
      <c r="AC24" s="397">
        <f t="shared" si="5"/>
      </c>
      <c r="AD24" s="397">
        <f t="shared" si="6"/>
      </c>
      <c r="AE24" s="397">
        <f t="shared" si="7"/>
      </c>
      <c r="AF24" s="276">
        <f t="shared" si="8"/>
        <v>0</v>
      </c>
      <c r="AG24" s="277" t="s">
        <v>7</v>
      </c>
      <c r="AH24" s="278">
        <f t="shared" si="9"/>
        <v>0</v>
      </c>
      <c r="AI24" s="276">
        <f t="shared" si="10"/>
        <v>0</v>
      </c>
      <c r="AJ24" s="277" t="s">
        <v>7</v>
      </c>
      <c r="AK24" s="278">
        <f t="shared" si="11"/>
        <v>0</v>
      </c>
      <c r="AL24" s="276">
        <f t="shared" si="12"/>
        <v>0</v>
      </c>
      <c r="AM24" s="277" t="s">
        <v>7</v>
      </c>
      <c r="AN24" s="278">
        <f t="shared" si="13"/>
        <v>0</v>
      </c>
    </row>
    <row r="25" spans="1:40" s="282" customFormat="1" ht="17.25" customHeight="1" thickBot="1">
      <c r="A25" s="528">
        <f t="shared" si="0"/>
        <v>6</v>
      </c>
      <c r="B25" s="549">
        <f>B24</f>
        <v>3</v>
      </c>
      <c r="C25" s="551" t="str">
        <f>C24</f>
        <v>anschl.</v>
      </c>
      <c r="D25" s="400">
        <v>6</v>
      </c>
      <c r="E25" s="467">
        <v>2</v>
      </c>
      <c r="F25" s="401" t="str">
        <f>T10</f>
        <v>TV Segnitz</v>
      </c>
      <c r="G25" s="141" t="s">
        <v>7</v>
      </c>
      <c r="H25" s="726" t="str">
        <f>T14</f>
        <v>TSV Lola</v>
      </c>
      <c r="I25" s="727"/>
      <c r="J25" s="727"/>
      <c r="K25" s="476"/>
      <c r="L25" s="141" t="s">
        <v>7</v>
      </c>
      <c r="M25" s="478"/>
      <c r="N25" s="476"/>
      <c r="O25" s="141" t="s">
        <v>7</v>
      </c>
      <c r="P25" s="478"/>
      <c r="Q25" s="476"/>
      <c r="R25" s="141" t="s">
        <v>7</v>
      </c>
      <c r="S25" s="478"/>
      <c r="T25" s="394" t="str">
        <f>T12</f>
        <v>Ahlhorner SV</v>
      </c>
      <c r="U25" s="721"/>
      <c r="V25" s="721"/>
      <c r="W25" s="721"/>
      <c r="X25" s="402" t="str">
        <f>IF(F38=$F$10,$X$51,IF(F38=$F$11,$X$51,IF(F38=$F$12,$X$51,IF(F38=$F$13,$X$51,IF(F38=$F$14,$X$51,$X$52)))))</f>
        <v>Vorrunde Gruppe A</v>
      </c>
      <c r="Y25" s="403">
        <f t="shared" si="1"/>
        <v>43715</v>
      </c>
      <c r="Z25" s="404">
        <f t="shared" si="2"/>
      </c>
      <c r="AA25" s="404">
        <f t="shared" si="3"/>
      </c>
      <c r="AB25" s="404">
        <f t="shared" si="4"/>
      </c>
      <c r="AC25" s="404">
        <f t="shared" si="5"/>
      </c>
      <c r="AD25" s="404">
        <f t="shared" si="6"/>
      </c>
      <c r="AE25" s="404">
        <f t="shared" si="7"/>
      </c>
      <c r="AF25" s="279">
        <f t="shared" si="8"/>
        <v>0</v>
      </c>
      <c r="AG25" s="280" t="s">
        <v>7</v>
      </c>
      <c r="AH25" s="281">
        <f t="shared" si="9"/>
        <v>0</v>
      </c>
      <c r="AI25" s="279">
        <f t="shared" si="10"/>
        <v>0</v>
      </c>
      <c r="AJ25" s="280" t="s">
        <v>7</v>
      </c>
      <c r="AK25" s="281">
        <f t="shared" si="11"/>
        <v>0</v>
      </c>
      <c r="AL25" s="279">
        <f t="shared" si="12"/>
        <v>0</v>
      </c>
      <c r="AM25" s="280" t="s">
        <v>7</v>
      </c>
      <c r="AN25" s="281">
        <f t="shared" si="13"/>
        <v>0</v>
      </c>
    </row>
    <row r="26" spans="1:40" s="282" customFormat="1" ht="17.25" customHeight="1" thickBot="1">
      <c r="A26" s="526">
        <f t="shared" si="0"/>
        <v>7</v>
      </c>
      <c r="B26" s="391">
        <v>4</v>
      </c>
      <c r="C26" s="550" t="s">
        <v>354</v>
      </c>
      <c r="D26" s="392">
        <v>7</v>
      </c>
      <c r="E26" s="466">
        <v>1</v>
      </c>
      <c r="F26" s="393" t="str">
        <f>F11</f>
        <v>NlV Stuttgart</v>
      </c>
      <c r="G26" s="140" t="s">
        <v>7</v>
      </c>
      <c r="H26" s="723" t="str">
        <f>F13</f>
        <v>TuS Wickrath</v>
      </c>
      <c r="I26" s="724"/>
      <c r="J26" s="724"/>
      <c r="K26" s="475"/>
      <c r="L26" s="140" t="s">
        <v>7</v>
      </c>
      <c r="M26" s="477"/>
      <c r="N26" s="475"/>
      <c r="O26" s="140" t="s">
        <v>7</v>
      </c>
      <c r="P26" s="477"/>
      <c r="Q26" s="475"/>
      <c r="R26" s="140" t="s">
        <v>7</v>
      </c>
      <c r="S26" s="477"/>
      <c r="T26" s="394" t="str">
        <f>F10</f>
        <v>TV Vaihingen/Enz</v>
      </c>
      <c r="U26" s="722"/>
      <c r="V26" s="722"/>
      <c r="W26" s="722"/>
      <c r="X26" s="395" t="str">
        <f>IF(F25=$F$10,$X$51,IF(F25=$F$11,$X$51,IF(F25=$F$12,$X$51,IF(F25=$F$13,$X$51,IF(F25=$F$14,$X$51,$X$52)))))</f>
        <v>Vorrunde Gruppe B</v>
      </c>
      <c r="Y26" s="396">
        <f t="shared" si="1"/>
        <v>43715</v>
      </c>
      <c r="Z26" s="397">
        <f t="shared" si="2"/>
      </c>
      <c r="AA26" s="397">
        <f t="shared" si="3"/>
      </c>
      <c r="AB26" s="397">
        <f t="shared" si="4"/>
      </c>
      <c r="AC26" s="397">
        <f t="shared" si="5"/>
      </c>
      <c r="AD26" s="397">
        <f t="shared" si="6"/>
      </c>
      <c r="AE26" s="397">
        <f t="shared" si="7"/>
      </c>
      <c r="AF26" s="276">
        <f t="shared" si="8"/>
        <v>0</v>
      </c>
      <c r="AG26" s="277" t="s">
        <v>7</v>
      </c>
      <c r="AH26" s="278">
        <f t="shared" si="9"/>
        <v>0</v>
      </c>
      <c r="AI26" s="276">
        <f t="shared" si="10"/>
        <v>0</v>
      </c>
      <c r="AJ26" s="277" t="s">
        <v>7</v>
      </c>
      <c r="AK26" s="278">
        <f t="shared" si="11"/>
        <v>0</v>
      </c>
      <c r="AL26" s="276">
        <f t="shared" si="12"/>
        <v>0</v>
      </c>
      <c r="AM26" s="277" t="s">
        <v>7</v>
      </c>
      <c r="AN26" s="278">
        <f t="shared" si="13"/>
        <v>0</v>
      </c>
    </row>
    <row r="27" spans="1:40" s="282" customFormat="1" ht="17.25" customHeight="1" thickBot="1">
      <c r="A27" s="526">
        <f t="shared" si="0"/>
        <v>8</v>
      </c>
      <c r="B27" s="549">
        <f>B26</f>
        <v>4</v>
      </c>
      <c r="C27" s="551" t="str">
        <f>C26</f>
        <v>anschl.</v>
      </c>
      <c r="D27" s="400">
        <v>8</v>
      </c>
      <c r="E27" s="467">
        <v>2</v>
      </c>
      <c r="F27" s="401" t="str">
        <f>T11</f>
        <v>TV Hallerstein</v>
      </c>
      <c r="G27" s="141" t="s">
        <v>7</v>
      </c>
      <c r="H27" s="726" t="str">
        <f>T13</f>
        <v>TV Brettorf</v>
      </c>
      <c r="I27" s="727"/>
      <c r="J27" s="727"/>
      <c r="K27" s="476"/>
      <c r="L27" s="141" t="s">
        <v>7</v>
      </c>
      <c r="M27" s="478"/>
      <c r="N27" s="476"/>
      <c r="O27" s="141" t="s">
        <v>7</v>
      </c>
      <c r="P27" s="478"/>
      <c r="Q27" s="476"/>
      <c r="R27" s="141" t="s">
        <v>7</v>
      </c>
      <c r="S27" s="478"/>
      <c r="T27" s="394" t="str">
        <f>T10</f>
        <v>TV Segnitz</v>
      </c>
      <c r="U27" s="721"/>
      <c r="V27" s="721"/>
      <c r="W27" s="721"/>
      <c r="X27" s="402" t="str">
        <f>IF(F39=$F$10,$X$51,IF(F39=$F$11,$X$51,IF(F39=$F$12,$X$51,IF(F39=$F$13,$X$51,IF(F39=$F$14,$X$51,$X$52)))))</f>
        <v>Vorrunde Gruppe B</v>
      </c>
      <c r="Y27" s="403">
        <f t="shared" si="1"/>
        <v>43715</v>
      </c>
      <c r="Z27" s="404">
        <f t="shared" si="2"/>
      </c>
      <c r="AA27" s="404">
        <f t="shared" si="3"/>
      </c>
      <c r="AB27" s="404">
        <f t="shared" si="4"/>
      </c>
      <c r="AC27" s="404">
        <f t="shared" si="5"/>
      </c>
      <c r="AD27" s="404">
        <f t="shared" si="6"/>
      </c>
      <c r="AE27" s="404">
        <f t="shared" si="7"/>
      </c>
      <c r="AF27" s="279">
        <f t="shared" si="8"/>
        <v>0</v>
      </c>
      <c r="AG27" s="280" t="s">
        <v>7</v>
      </c>
      <c r="AH27" s="281">
        <f t="shared" si="9"/>
        <v>0</v>
      </c>
      <c r="AI27" s="279">
        <f t="shared" si="10"/>
        <v>0</v>
      </c>
      <c r="AJ27" s="280" t="s">
        <v>7</v>
      </c>
      <c r="AK27" s="281">
        <f t="shared" si="11"/>
        <v>0</v>
      </c>
      <c r="AL27" s="279">
        <f t="shared" si="12"/>
        <v>0</v>
      </c>
      <c r="AM27" s="280" t="s">
        <v>7</v>
      </c>
      <c r="AN27" s="281">
        <f t="shared" si="13"/>
        <v>0</v>
      </c>
    </row>
    <row r="28" spans="1:40" s="282" customFormat="1" ht="17.25" customHeight="1" thickBot="1">
      <c r="A28" s="526">
        <f t="shared" si="0"/>
        <v>9</v>
      </c>
      <c r="B28" s="391">
        <v>5</v>
      </c>
      <c r="C28" s="550" t="s">
        <v>354</v>
      </c>
      <c r="D28" s="392">
        <v>9</v>
      </c>
      <c r="E28" s="466">
        <v>1</v>
      </c>
      <c r="F28" s="393" t="str">
        <f>F12</f>
        <v>TB Oppau</v>
      </c>
      <c r="G28" s="140" t="s">
        <v>7</v>
      </c>
      <c r="H28" s="723" t="str">
        <f>F14</f>
        <v>Berliner Turnerschaft</v>
      </c>
      <c r="I28" s="724"/>
      <c r="J28" s="724"/>
      <c r="K28" s="475"/>
      <c r="L28" s="140" t="s">
        <v>7</v>
      </c>
      <c r="M28" s="477"/>
      <c r="N28" s="475"/>
      <c r="O28" s="140" t="s">
        <v>7</v>
      </c>
      <c r="P28" s="477"/>
      <c r="Q28" s="475"/>
      <c r="R28" s="140" t="s">
        <v>7</v>
      </c>
      <c r="S28" s="477"/>
      <c r="T28" s="394" t="str">
        <f>F11</f>
        <v>NlV Stuttgart</v>
      </c>
      <c r="U28" s="722"/>
      <c r="V28" s="722"/>
      <c r="W28" s="722"/>
      <c r="X28" s="395" t="str">
        <f>IF(F34=$F$10,$X$51,IF(F34=$F$11,$X$51,IF(F34=$F$12,$X$51,IF(F34=$F$13,$X$51,IF(F34=$F$14,$X$51,$X$52)))))</f>
        <v>Vorrunde Gruppe A</v>
      </c>
      <c r="Y28" s="396">
        <f t="shared" si="1"/>
        <v>43715</v>
      </c>
      <c r="Z28" s="397">
        <f t="shared" si="2"/>
      </c>
      <c r="AA28" s="397">
        <f t="shared" si="3"/>
      </c>
      <c r="AB28" s="397">
        <f t="shared" si="4"/>
      </c>
      <c r="AC28" s="397">
        <f t="shared" si="5"/>
      </c>
      <c r="AD28" s="397">
        <f t="shared" si="6"/>
      </c>
      <c r="AE28" s="397">
        <f t="shared" si="7"/>
      </c>
      <c r="AF28" s="276">
        <f t="shared" si="8"/>
        <v>0</v>
      </c>
      <c r="AG28" s="277" t="s">
        <v>7</v>
      </c>
      <c r="AH28" s="278">
        <f t="shared" si="9"/>
        <v>0</v>
      </c>
      <c r="AI28" s="276">
        <f t="shared" si="10"/>
        <v>0</v>
      </c>
      <c r="AJ28" s="277" t="s">
        <v>7</v>
      </c>
      <c r="AK28" s="278">
        <f t="shared" si="11"/>
        <v>0</v>
      </c>
      <c r="AL28" s="276">
        <f t="shared" si="12"/>
        <v>0</v>
      </c>
      <c r="AM28" s="277" t="s">
        <v>7</v>
      </c>
      <c r="AN28" s="278">
        <f t="shared" si="13"/>
        <v>0</v>
      </c>
    </row>
    <row r="29" spans="1:40" s="282" customFormat="1" ht="17.25" customHeight="1" thickBot="1">
      <c r="A29" s="529">
        <f t="shared" si="0"/>
        <v>10</v>
      </c>
      <c r="B29" s="549">
        <f>B28</f>
        <v>5</v>
      </c>
      <c r="C29" s="551" t="str">
        <f>C28</f>
        <v>anschl.</v>
      </c>
      <c r="D29" s="400">
        <v>10</v>
      </c>
      <c r="E29" s="467">
        <v>2</v>
      </c>
      <c r="F29" s="401" t="str">
        <f>T12</f>
        <v>Ahlhorner SV</v>
      </c>
      <c r="G29" s="141" t="s">
        <v>7</v>
      </c>
      <c r="H29" s="726" t="str">
        <f>T14</f>
        <v>TSV Lola</v>
      </c>
      <c r="I29" s="727"/>
      <c r="J29" s="727"/>
      <c r="K29" s="476"/>
      <c r="L29" s="141" t="s">
        <v>7</v>
      </c>
      <c r="M29" s="478"/>
      <c r="N29" s="476"/>
      <c r="O29" s="141" t="s">
        <v>7</v>
      </c>
      <c r="P29" s="478"/>
      <c r="Q29" s="476"/>
      <c r="R29" s="141" t="s">
        <v>7</v>
      </c>
      <c r="S29" s="478"/>
      <c r="T29" s="667" t="str">
        <f>T11</f>
        <v>TV Hallerstein</v>
      </c>
      <c r="U29" s="721"/>
      <c r="V29" s="721"/>
      <c r="W29" s="721"/>
      <c r="X29" s="402" t="str">
        <f>IF(F36=$F$10,$X$51,IF(F36=$F$11,$X$51,IF(F36=$F$12,$X$51,IF(F36=$F$13,$X$51,IF(F36=$F$14,$X$51,$X$52)))))</f>
        <v>Vorrunde Gruppe A</v>
      </c>
      <c r="Y29" s="403">
        <f t="shared" si="1"/>
        <v>43715</v>
      </c>
      <c r="Z29" s="404">
        <f t="shared" si="2"/>
      </c>
      <c r="AA29" s="404">
        <f t="shared" si="3"/>
      </c>
      <c r="AB29" s="404">
        <f t="shared" si="4"/>
      </c>
      <c r="AC29" s="404">
        <f t="shared" si="5"/>
      </c>
      <c r="AD29" s="404">
        <f t="shared" si="6"/>
      </c>
      <c r="AE29" s="404">
        <f t="shared" si="7"/>
      </c>
      <c r="AF29" s="279">
        <f t="shared" si="8"/>
        <v>0</v>
      </c>
      <c r="AG29" s="280" t="s">
        <v>7</v>
      </c>
      <c r="AH29" s="281">
        <f t="shared" si="9"/>
        <v>0</v>
      </c>
      <c r="AI29" s="279">
        <f t="shared" si="10"/>
        <v>0</v>
      </c>
      <c r="AJ29" s="280" t="s">
        <v>7</v>
      </c>
      <c r="AK29" s="281">
        <f t="shared" si="11"/>
        <v>0</v>
      </c>
      <c r="AL29" s="279">
        <f t="shared" si="12"/>
        <v>0</v>
      </c>
      <c r="AM29" s="280" t="s">
        <v>7</v>
      </c>
      <c r="AN29" s="281">
        <f t="shared" si="13"/>
        <v>0</v>
      </c>
    </row>
    <row r="30" spans="1:40" s="282" customFormat="1" ht="17.25" customHeight="1" thickBot="1">
      <c r="A30" s="518">
        <f t="shared" si="0"/>
        <v>11</v>
      </c>
      <c r="B30" s="391">
        <v>6</v>
      </c>
      <c r="C30" s="550" t="s">
        <v>354</v>
      </c>
      <c r="D30" s="392">
        <v>11</v>
      </c>
      <c r="E30" s="466">
        <v>1</v>
      </c>
      <c r="F30" s="393" t="str">
        <f>F10</f>
        <v>TV Vaihingen/Enz</v>
      </c>
      <c r="G30" s="140" t="s">
        <v>7</v>
      </c>
      <c r="H30" s="723" t="str">
        <f>F13</f>
        <v>TuS Wickrath</v>
      </c>
      <c r="I30" s="724"/>
      <c r="J30" s="724"/>
      <c r="K30" s="475"/>
      <c r="L30" s="140" t="s">
        <v>7</v>
      </c>
      <c r="M30" s="477"/>
      <c r="N30" s="475"/>
      <c r="O30" s="140" t="s">
        <v>7</v>
      </c>
      <c r="P30" s="477"/>
      <c r="Q30" s="475"/>
      <c r="R30" s="140" t="s">
        <v>7</v>
      </c>
      <c r="S30" s="477"/>
      <c r="T30" s="394" t="str">
        <f>F12</f>
        <v>TB Oppau</v>
      </c>
      <c r="U30" s="722"/>
      <c r="V30" s="722"/>
      <c r="W30" s="722"/>
      <c r="X30" s="395" t="str">
        <f>IF(F35=$F$10,$X$51,IF(F35=$F$11,$X$51,IF(F35=$F$12,$X$51,IF(F35=$F$13,$X$51,IF(F35=$F$14,$X$51,$X$52)))))</f>
        <v>Vorrunde Gruppe B</v>
      </c>
      <c r="Y30" s="396">
        <f aca="true" t="shared" si="14" ref="Y30:Y39">$K$7</f>
        <v>43715</v>
      </c>
      <c r="Z30" s="397">
        <f t="shared" si="2"/>
      </c>
      <c r="AA30" s="397">
        <f t="shared" si="3"/>
      </c>
      <c r="AB30" s="397">
        <f t="shared" si="4"/>
      </c>
      <c r="AC30" s="397">
        <f t="shared" si="5"/>
      </c>
      <c r="AD30" s="397">
        <f t="shared" si="6"/>
      </c>
      <c r="AE30" s="397">
        <f t="shared" si="7"/>
      </c>
      <c r="AF30" s="276">
        <f t="shared" si="8"/>
        <v>0</v>
      </c>
      <c r="AG30" s="277" t="s">
        <v>7</v>
      </c>
      <c r="AH30" s="278">
        <f t="shared" si="9"/>
        <v>0</v>
      </c>
      <c r="AI30" s="276">
        <f t="shared" si="10"/>
        <v>0</v>
      </c>
      <c r="AJ30" s="277" t="s">
        <v>7</v>
      </c>
      <c r="AK30" s="278">
        <f t="shared" si="11"/>
        <v>0</v>
      </c>
      <c r="AL30" s="276">
        <f t="shared" si="12"/>
        <v>0</v>
      </c>
      <c r="AM30" s="277" t="s">
        <v>7</v>
      </c>
      <c r="AN30" s="278">
        <f t="shared" si="13"/>
        <v>0</v>
      </c>
    </row>
    <row r="31" spans="1:40" s="282" customFormat="1" ht="17.25" customHeight="1" thickBot="1">
      <c r="A31" s="525">
        <f t="shared" si="0"/>
        <v>12</v>
      </c>
      <c r="B31" s="549">
        <f>B30</f>
        <v>6</v>
      </c>
      <c r="C31" s="551" t="str">
        <f>C30</f>
        <v>anschl.</v>
      </c>
      <c r="D31" s="400">
        <v>12</v>
      </c>
      <c r="E31" s="467">
        <v>2</v>
      </c>
      <c r="F31" s="401" t="str">
        <f>T10</f>
        <v>TV Segnitz</v>
      </c>
      <c r="G31" s="141" t="s">
        <v>7</v>
      </c>
      <c r="H31" s="726" t="str">
        <f>T13</f>
        <v>TV Brettorf</v>
      </c>
      <c r="I31" s="727"/>
      <c r="J31" s="727"/>
      <c r="K31" s="476"/>
      <c r="L31" s="141" t="s">
        <v>7</v>
      </c>
      <c r="M31" s="478"/>
      <c r="N31" s="476"/>
      <c r="O31" s="141" t="s">
        <v>7</v>
      </c>
      <c r="P31" s="478"/>
      <c r="Q31" s="476"/>
      <c r="R31" s="141" t="s">
        <v>7</v>
      </c>
      <c r="S31" s="478"/>
      <c r="T31" s="667" t="str">
        <f>T12</f>
        <v>Ahlhorner SV</v>
      </c>
      <c r="U31" s="721"/>
      <c r="V31" s="721"/>
      <c r="W31" s="721"/>
      <c r="X31" s="402" t="str">
        <f>IF(F37=$F$10,$X$51,IF(F37=$F$11,$X$51,IF(F37=$F$12,$X$51,IF(F37=$F$13,$X$51,IF(F37=$F$14,$X$51,$X$52)))))</f>
        <v>Vorrunde Gruppe B</v>
      </c>
      <c r="Y31" s="403">
        <f t="shared" si="14"/>
        <v>43715</v>
      </c>
      <c r="Z31" s="404">
        <f t="shared" si="2"/>
      </c>
      <c r="AA31" s="404">
        <f t="shared" si="3"/>
      </c>
      <c r="AB31" s="404">
        <f t="shared" si="4"/>
      </c>
      <c r="AC31" s="404">
        <f t="shared" si="5"/>
      </c>
      <c r="AD31" s="404">
        <f t="shared" si="6"/>
      </c>
      <c r="AE31" s="404">
        <f t="shared" si="7"/>
      </c>
      <c r="AF31" s="279">
        <f t="shared" si="8"/>
        <v>0</v>
      </c>
      <c r="AG31" s="280" t="s">
        <v>7</v>
      </c>
      <c r="AH31" s="281">
        <f t="shared" si="9"/>
        <v>0</v>
      </c>
      <c r="AI31" s="279">
        <f t="shared" si="10"/>
        <v>0</v>
      </c>
      <c r="AJ31" s="280" t="s">
        <v>7</v>
      </c>
      <c r="AK31" s="281">
        <f t="shared" si="11"/>
        <v>0</v>
      </c>
      <c r="AL31" s="279">
        <f t="shared" si="12"/>
        <v>0</v>
      </c>
      <c r="AM31" s="280" t="s">
        <v>7</v>
      </c>
      <c r="AN31" s="281">
        <f t="shared" si="13"/>
        <v>0</v>
      </c>
    </row>
    <row r="32" spans="1:40" s="282" customFormat="1" ht="17.25" customHeight="1" thickBot="1">
      <c r="A32" s="526">
        <f t="shared" si="0"/>
        <v>13</v>
      </c>
      <c r="B32" s="391">
        <v>7</v>
      </c>
      <c r="C32" s="550" t="s">
        <v>354</v>
      </c>
      <c r="D32" s="392">
        <v>13</v>
      </c>
      <c r="E32" s="466">
        <v>1</v>
      </c>
      <c r="F32" s="393" t="str">
        <f>F11</f>
        <v>NlV Stuttgart</v>
      </c>
      <c r="G32" s="140" t="s">
        <v>7</v>
      </c>
      <c r="H32" s="723" t="str">
        <f>F14</f>
        <v>Berliner Turnerschaft</v>
      </c>
      <c r="I32" s="724"/>
      <c r="J32" s="724"/>
      <c r="K32" s="475"/>
      <c r="L32" s="140" t="s">
        <v>7</v>
      </c>
      <c r="M32" s="477"/>
      <c r="N32" s="475"/>
      <c r="O32" s="140" t="s">
        <v>7</v>
      </c>
      <c r="P32" s="477"/>
      <c r="Q32" s="475"/>
      <c r="R32" s="140" t="s">
        <v>7</v>
      </c>
      <c r="S32" s="477"/>
      <c r="T32" s="394" t="str">
        <f>F13</f>
        <v>TuS Wickrath</v>
      </c>
      <c r="U32" s="722"/>
      <c r="V32" s="722"/>
      <c r="W32" s="722"/>
      <c r="X32" s="395" t="str">
        <f>IF(F26=$F$10,$X$51,IF(F26=$F$11,$X$51,IF(F26=$F$12,$X$51,IF(F26=$F$13,$X$51,IF(F26=$F$14,$X$51,$X$52)))))</f>
        <v>Vorrunde Gruppe A</v>
      </c>
      <c r="Y32" s="396">
        <f t="shared" si="14"/>
        <v>43715</v>
      </c>
      <c r="Z32" s="397">
        <f t="shared" si="2"/>
      </c>
      <c r="AA32" s="397">
        <f t="shared" si="3"/>
      </c>
      <c r="AB32" s="397">
        <f t="shared" si="4"/>
      </c>
      <c r="AC32" s="397">
        <f t="shared" si="5"/>
      </c>
      <c r="AD32" s="397">
        <f t="shared" si="6"/>
      </c>
      <c r="AE32" s="397">
        <f t="shared" si="7"/>
      </c>
      <c r="AF32" s="276">
        <f t="shared" si="8"/>
        <v>0</v>
      </c>
      <c r="AG32" s="277" t="s">
        <v>7</v>
      </c>
      <c r="AH32" s="278">
        <f t="shared" si="9"/>
        <v>0</v>
      </c>
      <c r="AI32" s="276">
        <f t="shared" si="10"/>
        <v>0</v>
      </c>
      <c r="AJ32" s="277" t="s">
        <v>7</v>
      </c>
      <c r="AK32" s="278">
        <f t="shared" si="11"/>
        <v>0</v>
      </c>
      <c r="AL32" s="276">
        <f t="shared" si="12"/>
        <v>0</v>
      </c>
      <c r="AM32" s="277" t="s">
        <v>7</v>
      </c>
      <c r="AN32" s="278">
        <f t="shared" si="13"/>
        <v>0</v>
      </c>
    </row>
    <row r="33" spans="1:40" s="282" customFormat="1" ht="17.25" customHeight="1" thickBot="1">
      <c r="A33" s="526">
        <f t="shared" si="0"/>
        <v>14</v>
      </c>
      <c r="B33" s="549">
        <f>B32</f>
        <v>7</v>
      </c>
      <c r="C33" s="551" t="str">
        <f>C32</f>
        <v>anschl.</v>
      </c>
      <c r="D33" s="400">
        <v>14</v>
      </c>
      <c r="E33" s="467">
        <v>2</v>
      </c>
      <c r="F33" s="401" t="str">
        <f>T11</f>
        <v>TV Hallerstein</v>
      </c>
      <c r="G33" s="141" t="s">
        <v>7</v>
      </c>
      <c r="H33" s="726" t="str">
        <f>T14</f>
        <v>TSV Lola</v>
      </c>
      <c r="I33" s="727"/>
      <c r="J33" s="727"/>
      <c r="K33" s="476"/>
      <c r="L33" s="141" t="s">
        <v>7</v>
      </c>
      <c r="M33" s="478"/>
      <c r="N33" s="476"/>
      <c r="O33" s="141" t="s">
        <v>7</v>
      </c>
      <c r="P33" s="478"/>
      <c r="Q33" s="476"/>
      <c r="R33" s="141" t="s">
        <v>7</v>
      </c>
      <c r="S33" s="478"/>
      <c r="T33" s="394" t="str">
        <f>T13</f>
        <v>TV Brettorf</v>
      </c>
      <c r="U33" s="721"/>
      <c r="V33" s="721"/>
      <c r="W33" s="721"/>
      <c r="X33" s="402" t="str">
        <f>IF(F28=$F$10,$X$51,IF(F28=$F$11,$X$51,IF(F28=$F$12,$X$51,IF(F28=$F$13,$X$51,IF(F28=$F$14,$X$51,$X$52)))))</f>
        <v>Vorrunde Gruppe A</v>
      </c>
      <c r="Y33" s="403">
        <f t="shared" si="14"/>
        <v>43715</v>
      </c>
      <c r="Z33" s="404">
        <f t="shared" si="2"/>
      </c>
      <c r="AA33" s="404">
        <f t="shared" si="3"/>
      </c>
      <c r="AB33" s="404">
        <f t="shared" si="4"/>
      </c>
      <c r="AC33" s="404">
        <f t="shared" si="5"/>
      </c>
      <c r="AD33" s="404">
        <f t="shared" si="6"/>
      </c>
      <c r="AE33" s="404">
        <f t="shared" si="7"/>
      </c>
      <c r="AF33" s="279">
        <f t="shared" si="8"/>
        <v>0</v>
      </c>
      <c r="AG33" s="280" t="s">
        <v>7</v>
      </c>
      <c r="AH33" s="281">
        <f t="shared" si="9"/>
        <v>0</v>
      </c>
      <c r="AI33" s="279">
        <f t="shared" si="10"/>
        <v>0</v>
      </c>
      <c r="AJ33" s="280" t="s">
        <v>7</v>
      </c>
      <c r="AK33" s="281">
        <f t="shared" si="11"/>
        <v>0</v>
      </c>
      <c r="AL33" s="279">
        <f t="shared" si="12"/>
        <v>0</v>
      </c>
      <c r="AM33" s="280" t="s">
        <v>7</v>
      </c>
      <c r="AN33" s="281">
        <f t="shared" si="13"/>
        <v>0</v>
      </c>
    </row>
    <row r="34" spans="1:41" s="282" customFormat="1" ht="17.25" customHeight="1" thickBot="1">
      <c r="A34" s="527">
        <f t="shared" si="0"/>
        <v>15</v>
      </c>
      <c r="B34" s="391">
        <v>8</v>
      </c>
      <c r="C34" s="550" t="s">
        <v>354</v>
      </c>
      <c r="D34" s="392">
        <v>15</v>
      </c>
      <c r="E34" s="466">
        <v>1</v>
      </c>
      <c r="F34" s="393" t="str">
        <f>F10</f>
        <v>TV Vaihingen/Enz</v>
      </c>
      <c r="G34" s="140" t="s">
        <v>7</v>
      </c>
      <c r="H34" s="723" t="str">
        <f>F12</f>
        <v>TB Oppau</v>
      </c>
      <c r="I34" s="724"/>
      <c r="J34" s="724"/>
      <c r="K34" s="475"/>
      <c r="L34" s="140">
        <v>6</v>
      </c>
      <c r="M34" s="477"/>
      <c r="N34" s="475"/>
      <c r="O34" s="140" t="s">
        <v>7</v>
      </c>
      <c r="P34" s="477"/>
      <c r="Q34" s="475"/>
      <c r="R34" s="140" t="s">
        <v>7</v>
      </c>
      <c r="S34" s="477"/>
      <c r="T34" s="394" t="str">
        <f>F14</f>
        <v>Berliner Turnerschaft</v>
      </c>
      <c r="U34" s="722"/>
      <c r="V34" s="722"/>
      <c r="W34" s="722"/>
      <c r="X34" s="395" t="str">
        <f>IF(F27=$F$10,$X$51,IF(F27=$F$11,$X$51,IF(F27=$F$12,$X$51,IF(F27=$F$13,$X$51,IF(F27=$F$14,$X$51,$X$52)))))</f>
        <v>Vorrunde Gruppe B</v>
      </c>
      <c r="Y34" s="396">
        <f t="shared" si="14"/>
        <v>43715</v>
      </c>
      <c r="Z34" s="397">
        <f t="shared" si="2"/>
      </c>
      <c r="AA34" s="397">
        <f t="shared" si="3"/>
      </c>
      <c r="AB34" s="397">
        <f t="shared" si="4"/>
      </c>
      <c r="AC34" s="397">
        <f t="shared" si="5"/>
      </c>
      <c r="AD34" s="397">
        <f t="shared" si="6"/>
      </c>
      <c r="AE34" s="397">
        <f t="shared" si="7"/>
      </c>
      <c r="AF34" s="276">
        <f t="shared" si="8"/>
        <v>0</v>
      </c>
      <c r="AG34" s="277" t="s">
        <v>7</v>
      </c>
      <c r="AH34" s="278">
        <f t="shared" si="9"/>
        <v>0</v>
      </c>
      <c r="AI34" s="276">
        <f t="shared" si="10"/>
        <v>0</v>
      </c>
      <c r="AJ34" s="277" t="s">
        <v>7</v>
      </c>
      <c r="AK34" s="278">
        <f t="shared" si="11"/>
        <v>0</v>
      </c>
      <c r="AL34" s="276">
        <f t="shared" si="12"/>
        <v>0</v>
      </c>
      <c r="AM34" s="277" t="s">
        <v>7</v>
      </c>
      <c r="AN34" s="278">
        <f t="shared" si="13"/>
        <v>0</v>
      </c>
      <c r="AO34" s="234"/>
    </row>
    <row r="35" spans="1:40" s="282" customFormat="1" ht="17.25" customHeight="1" thickBot="1">
      <c r="A35" s="390">
        <f t="shared" si="0"/>
        <v>16</v>
      </c>
      <c r="B35" s="549">
        <f>B34</f>
        <v>8</v>
      </c>
      <c r="C35" s="551" t="str">
        <f>C34</f>
        <v>anschl.</v>
      </c>
      <c r="D35" s="400">
        <v>16</v>
      </c>
      <c r="E35" s="467">
        <v>2</v>
      </c>
      <c r="F35" s="401" t="str">
        <f>T10</f>
        <v>TV Segnitz</v>
      </c>
      <c r="G35" s="141" t="s">
        <v>7</v>
      </c>
      <c r="H35" s="726" t="str">
        <f>T12</f>
        <v>Ahlhorner SV</v>
      </c>
      <c r="I35" s="727"/>
      <c r="J35" s="727"/>
      <c r="K35" s="476"/>
      <c r="L35" s="141" t="s">
        <v>7</v>
      </c>
      <c r="M35" s="478"/>
      <c r="N35" s="476"/>
      <c r="O35" s="141" t="s">
        <v>7</v>
      </c>
      <c r="P35" s="478"/>
      <c r="Q35" s="476"/>
      <c r="R35" s="141" t="s">
        <v>7</v>
      </c>
      <c r="S35" s="478"/>
      <c r="T35" s="394" t="str">
        <f>T14</f>
        <v>TSV Lola</v>
      </c>
      <c r="U35" s="721"/>
      <c r="V35" s="721"/>
      <c r="W35" s="721"/>
      <c r="X35" s="402" t="str">
        <f>IF(F29=$F$10,$X$51,IF(F29=$F$11,$X$51,IF(F29=$F$12,$X$51,IF(F29=$F$13,$X$51,IF(F29=$F$14,$X$51,$X$52)))))</f>
        <v>Vorrunde Gruppe B</v>
      </c>
      <c r="Y35" s="403">
        <f t="shared" si="14"/>
        <v>43715</v>
      </c>
      <c r="Z35" s="404">
        <f t="shared" si="2"/>
      </c>
      <c r="AA35" s="404">
        <f t="shared" si="3"/>
      </c>
      <c r="AB35" s="404">
        <f t="shared" si="4"/>
      </c>
      <c r="AC35" s="404">
        <f t="shared" si="5"/>
      </c>
      <c r="AD35" s="404">
        <f t="shared" si="6"/>
      </c>
      <c r="AE35" s="404">
        <f t="shared" si="7"/>
      </c>
      <c r="AF35" s="279">
        <f t="shared" si="8"/>
        <v>0</v>
      </c>
      <c r="AG35" s="280" t="s">
        <v>7</v>
      </c>
      <c r="AH35" s="281">
        <f t="shared" si="9"/>
        <v>0</v>
      </c>
      <c r="AI35" s="279">
        <f t="shared" si="10"/>
        <v>0</v>
      </c>
      <c r="AJ35" s="280" t="s">
        <v>7</v>
      </c>
      <c r="AK35" s="281">
        <f t="shared" si="11"/>
        <v>0</v>
      </c>
      <c r="AL35" s="279">
        <f t="shared" si="12"/>
        <v>0</v>
      </c>
      <c r="AM35" s="280" t="s">
        <v>7</v>
      </c>
      <c r="AN35" s="281">
        <f t="shared" si="13"/>
        <v>0</v>
      </c>
    </row>
    <row r="36" spans="1:40" s="282" customFormat="1" ht="17.25" customHeight="1" thickBot="1">
      <c r="A36" s="524">
        <f t="shared" si="0"/>
        <v>17</v>
      </c>
      <c r="B36" s="391">
        <v>9</v>
      </c>
      <c r="C36" s="550" t="s">
        <v>354</v>
      </c>
      <c r="D36" s="392">
        <v>17</v>
      </c>
      <c r="E36" s="466">
        <v>1</v>
      </c>
      <c r="F36" s="393" t="str">
        <f>F13</f>
        <v>TuS Wickrath</v>
      </c>
      <c r="G36" s="140" t="s">
        <v>7</v>
      </c>
      <c r="H36" s="723" t="str">
        <f>F14</f>
        <v>Berliner Turnerschaft</v>
      </c>
      <c r="I36" s="724"/>
      <c r="J36" s="724"/>
      <c r="K36" s="475"/>
      <c r="L36" s="140" t="s">
        <v>7</v>
      </c>
      <c r="M36" s="477"/>
      <c r="N36" s="475"/>
      <c r="O36" s="140" t="s">
        <v>7</v>
      </c>
      <c r="P36" s="477"/>
      <c r="Q36" s="475"/>
      <c r="R36" s="140" t="s">
        <v>7</v>
      </c>
      <c r="S36" s="477"/>
      <c r="T36" s="394" t="str">
        <f>F10</f>
        <v>TV Vaihingen/Enz</v>
      </c>
      <c r="U36" s="722"/>
      <c r="V36" s="722"/>
      <c r="W36" s="722"/>
      <c r="X36" s="395" t="str">
        <f>IF(F30=$F$10,$X$51,IF(F30=$F$11,$X$51,IF(F30=$F$12,$X$51,IF(F30=$F$13,$X$51,IF(F30=$F$14,$X$51,$X$52)))))</f>
        <v>Vorrunde Gruppe A</v>
      </c>
      <c r="Y36" s="396">
        <f t="shared" si="14"/>
        <v>43715</v>
      </c>
      <c r="Z36" s="397">
        <f t="shared" si="2"/>
      </c>
      <c r="AA36" s="397">
        <f t="shared" si="3"/>
      </c>
      <c r="AB36" s="397">
        <f t="shared" si="4"/>
      </c>
      <c r="AC36" s="397">
        <f t="shared" si="5"/>
      </c>
      <c r="AD36" s="397">
        <f t="shared" si="6"/>
      </c>
      <c r="AE36" s="397">
        <f t="shared" si="7"/>
      </c>
      <c r="AF36" s="276">
        <f t="shared" si="8"/>
        <v>0</v>
      </c>
      <c r="AG36" s="277" t="s">
        <v>7</v>
      </c>
      <c r="AH36" s="278">
        <f t="shared" si="9"/>
        <v>0</v>
      </c>
      <c r="AI36" s="276">
        <f t="shared" si="10"/>
        <v>0</v>
      </c>
      <c r="AJ36" s="277" t="s">
        <v>7</v>
      </c>
      <c r="AK36" s="278">
        <f t="shared" si="11"/>
        <v>0</v>
      </c>
      <c r="AL36" s="276">
        <f t="shared" si="12"/>
        <v>0</v>
      </c>
      <c r="AM36" s="277" t="s">
        <v>7</v>
      </c>
      <c r="AN36" s="278">
        <f t="shared" si="13"/>
        <v>0</v>
      </c>
    </row>
    <row r="37" spans="1:40" s="282" customFormat="1" ht="17.25" customHeight="1" thickBot="1">
      <c r="A37" s="524">
        <f t="shared" si="0"/>
        <v>18</v>
      </c>
      <c r="B37" s="549">
        <f>B36</f>
        <v>9</v>
      </c>
      <c r="C37" s="551" t="str">
        <f>C36</f>
        <v>anschl.</v>
      </c>
      <c r="D37" s="400">
        <v>18</v>
      </c>
      <c r="E37" s="467">
        <v>2</v>
      </c>
      <c r="F37" s="401" t="str">
        <f>T13</f>
        <v>TV Brettorf</v>
      </c>
      <c r="G37" s="141" t="s">
        <v>7</v>
      </c>
      <c r="H37" s="726" t="str">
        <f>T14</f>
        <v>TSV Lola</v>
      </c>
      <c r="I37" s="727"/>
      <c r="J37" s="727"/>
      <c r="K37" s="476"/>
      <c r="L37" s="141" t="s">
        <v>7</v>
      </c>
      <c r="M37" s="478"/>
      <c r="N37" s="476"/>
      <c r="O37" s="141" t="s">
        <v>7</v>
      </c>
      <c r="P37" s="478"/>
      <c r="Q37" s="476"/>
      <c r="R37" s="141" t="s">
        <v>7</v>
      </c>
      <c r="S37" s="478"/>
      <c r="T37" s="394" t="str">
        <f>T10</f>
        <v>TV Segnitz</v>
      </c>
      <c r="U37" s="721"/>
      <c r="V37" s="721"/>
      <c r="W37" s="721"/>
      <c r="X37" s="402" t="str">
        <f>IF(F32=$F$10,$X$51,IF(F32=$F$11,$X$51,IF(F32=$F$12,$X$51,IF(F32=$F$13,$X$51,IF(F32=$F$14,$X$51,$X$52)))))</f>
        <v>Vorrunde Gruppe A</v>
      </c>
      <c r="Y37" s="403">
        <f t="shared" si="14"/>
        <v>43715</v>
      </c>
      <c r="Z37" s="404">
        <f t="shared" si="2"/>
      </c>
      <c r="AA37" s="404">
        <f t="shared" si="3"/>
      </c>
      <c r="AB37" s="404">
        <f t="shared" si="4"/>
      </c>
      <c r="AC37" s="404">
        <f t="shared" si="5"/>
      </c>
      <c r="AD37" s="404">
        <f t="shared" si="6"/>
      </c>
      <c r="AE37" s="404">
        <f t="shared" si="7"/>
      </c>
      <c r="AF37" s="279">
        <f t="shared" si="8"/>
        <v>0</v>
      </c>
      <c r="AG37" s="280" t="s">
        <v>7</v>
      </c>
      <c r="AH37" s="281">
        <f t="shared" si="9"/>
        <v>0</v>
      </c>
      <c r="AI37" s="279">
        <f t="shared" si="10"/>
        <v>0</v>
      </c>
      <c r="AJ37" s="280" t="s">
        <v>7</v>
      </c>
      <c r="AK37" s="281">
        <f t="shared" si="11"/>
        <v>0</v>
      </c>
      <c r="AL37" s="279">
        <f t="shared" si="12"/>
        <v>0</v>
      </c>
      <c r="AM37" s="280" t="s">
        <v>7</v>
      </c>
      <c r="AN37" s="281">
        <f t="shared" si="13"/>
        <v>0</v>
      </c>
    </row>
    <row r="38" spans="1:40" s="282" customFormat="1" ht="17.25" customHeight="1" thickBot="1">
      <c r="A38" s="524">
        <f t="shared" si="0"/>
        <v>19</v>
      </c>
      <c r="B38" s="391">
        <v>10</v>
      </c>
      <c r="C38" s="550" t="s">
        <v>354</v>
      </c>
      <c r="D38" s="392">
        <v>19</v>
      </c>
      <c r="E38" s="466">
        <v>1</v>
      </c>
      <c r="F38" s="393" t="str">
        <f>F11</f>
        <v>NlV Stuttgart</v>
      </c>
      <c r="G38" s="140" t="s">
        <v>7</v>
      </c>
      <c r="H38" s="723" t="str">
        <f>F12</f>
        <v>TB Oppau</v>
      </c>
      <c r="I38" s="724"/>
      <c r="J38" s="724"/>
      <c r="K38" s="475"/>
      <c r="L38" s="140" t="s">
        <v>7</v>
      </c>
      <c r="M38" s="477"/>
      <c r="N38" s="475"/>
      <c r="O38" s="140" t="s">
        <v>7</v>
      </c>
      <c r="P38" s="477"/>
      <c r="Q38" s="475"/>
      <c r="R38" s="140" t="s">
        <v>7</v>
      </c>
      <c r="S38" s="477"/>
      <c r="T38" s="394" t="str">
        <f>F13</f>
        <v>TuS Wickrath</v>
      </c>
      <c r="U38" s="722"/>
      <c r="V38" s="722"/>
      <c r="W38" s="722"/>
      <c r="X38" s="395" t="str">
        <f>IF(F31=$F$10,$X$51,IF(F31=$F$11,$X$51,IF(F31=$F$12,$X$51,IF(F31=$F$13,$X$51,IF(F31=$F$14,$X$51,$X$52)))))</f>
        <v>Vorrunde Gruppe B</v>
      </c>
      <c r="Y38" s="396">
        <f t="shared" si="14"/>
        <v>43715</v>
      </c>
      <c r="Z38" s="397">
        <f t="shared" si="2"/>
      </c>
      <c r="AA38" s="397">
        <f t="shared" si="3"/>
      </c>
      <c r="AB38" s="397">
        <f t="shared" si="4"/>
      </c>
      <c r="AC38" s="397">
        <f t="shared" si="5"/>
      </c>
      <c r="AD38" s="397">
        <f t="shared" si="6"/>
      </c>
      <c r="AE38" s="397">
        <f t="shared" si="7"/>
      </c>
      <c r="AF38" s="276">
        <f t="shared" si="8"/>
        <v>0</v>
      </c>
      <c r="AG38" s="277" t="s">
        <v>7</v>
      </c>
      <c r="AH38" s="278">
        <f t="shared" si="9"/>
        <v>0</v>
      </c>
      <c r="AI38" s="276">
        <f t="shared" si="10"/>
        <v>0</v>
      </c>
      <c r="AJ38" s="277" t="s">
        <v>7</v>
      </c>
      <c r="AK38" s="278">
        <f t="shared" si="11"/>
        <v>0</v>
      </c>
      <c r="AL38" s="276">
        <f t="shared" si="12"/>
        <v>0</v>
      </c>
      <c r="AM38" s="277" t="s">
        <v>7</v>
      </c>
      <c r="AN38" s="278">
        <f t="shared" si="13"/>
        <v>0</v>
      </c>
    </row>
    <row r="39" spans="1:40" s="282" customFormat="1" ht="17.25" customHeight="1" thickBot="1">
      <c r="A39" s="405">
        <f t="shared" si="0"/>
        <v>20</v>
      </c>
      <c r="B39" s="549">
        <f>B38</f>
        <v>10</v>
      </c>
      <c r="C39" s="551" t="str">
        <f>C38</f>
        <v>anschl.</v>
      </c>
      <c r="D39" s="400">
        <v>20</v>
      </c>
      <c r="E39" s="467">
        <v>2</v>
      </c>
      <c r="F39" s="401" t="str">
        <f>T11</f>
        <v>TV Hallerstein</v>
      </c>
      <c r="G39" s="141" t="s">
        <v>7</v>
      </c>
      <c r="H39" s="726" t="str">
        <f>T12</f>
        <v>Ahlhorner SV</v>
      </c>
      <c r="I39" s="727"/>
      <c r="J39" s="727"/>
      <c r="K39" s="476"/>
      <c r="L39" s="141" t="s">
        <v>7</v>
      </c>
      <c r="M39" s="478"/>
      <c r="N39" s="476"/>
      <c r="O39" s="141" t="s">
        <v>7</v>
      </c>
      <c r="P39" s="478"/>
      <c r="Q39" s="476"/>
      <c r="R39" s="141" t="s">
        <v>7</v>
      </c>
      <c r="S39" s="478"/>
      <c r="T39" s="394" t="str">
        <f>T13</f>
        <v>TV Brettorf</v>
      </c>
      <c r="U39" s="721"/>
      <c r="V39" s="721"/>
      <c r="W39" s="721"/>
      <c r="X39" s="402" t="str">
        <f>IF(F33=$F$10,$X$51,IF(F33=$F$11,$X$51,IF(F33=$F$12,$X$51,IF(F33=$F$13,$X$51,IF(F33=$F$14,$X$51,$X$52)))))</f>
        <v>Vorrunde Gruppe B</v>
      </c>
      <c r="Y39" s="403">
        <f t="shared" si="14"/>
        <v>43715</v>
      </c>
      <c r="Z39" s="404">
        <f t="shared" si="2"/>
      </c>
      <c r="AA39" s="404">
        <f t="shared" si="3"/>
      </c>
      <c r="AB39" s="404">
        <f t="shared" si="4"/>
      </c>
      <c r="AC39" s="404">
        <f t="shared" si="5"/>
      </c>
      <c r="AD39" s="404">
        <f t="shared" si="6"/>
      </c>
      <c r="AE39" s="404">
        <f t="shared" si="7"/>
      </c>
      <c r="AF39" s="279">
        <f t="shared" si="8"/>
        <v>0</v>
      </c>
      <c r="AG39" s="280" t="s">
        <v>7</v>
      </c>
      <c r="AH39" s="281">
        <f t="shared" si="9"/>
        <v>0</v>
      </c>
      <c r="AI39" s="279">
        <f t="shared" si="10"/>
        <v>0</v>
      </c>
      <c r="AJ39" s="280" t="s">
        <v>7</v>
      </c>
      <c r="AK39" s="281">
        <f t="shared" si="11"/>
        <v>0</v>
      </c>
      <c r="AL39" s="279">
        <f t="shared" si="12"/>
        <v>0</v>
      </c>
      <c r="AM39" s="280" t="s">
        <v>7</v>
      </c>
      <c r="AN39" s="281">
        <f t="shared" si="13"/>
        <v>0</v>
      </c>
    </row>
    <row r="40" spans="1:40" ht="15" customHeight="1" hidden="1">
      <c r="A40" s="28">
        <f t="shared" si="0"/>
        <v>21</v>
      </c>
      <c r="B40" s="406">
        <f>IF('Spielplan-So'!A17="","",'Spielplan-So'!A17)</f>
        <v>11</v>
      </c>
      <c r="C40" s="436">
        <f>IF('Spielplan-So'!B17="","",'Spielplan-So'!B17)</f>
        <v>0.375</v>
      </c>
      <c r="D40" s="406">
        <f>IF('Spielplan-So'!C17="","",'Spielplan-So'!C17)</f>
        <v>21</v>
      </c>
      <c r="E40" s="406">
        <f>IF('Spielplan-So'!D17="","",'Spielplan-So'!D17)</f>
        <v>1</v>
      </c>
      <c r="F40" s="29">
        <f>IF('Spielplan-So'!E18="","",'Spielplan-So'!E18)</f>
      </c>
      <c r="G40" s="29" t="str">
        <f>IF('Spielplan-So'!F18="","",'Spielplan-So'!F18)</f>
        <v>:</v>
      </c>
      <c r="H40" s="29">
        <f>IF('Spielplan-So'!G18="","",'Spielplan-So'!G18)</f>
      </c>
      <c r="I40" s="29"/>
      <c r="J40" s="29"/>
      <c r="K40" s="29">
        <f>IF('Spielplan-So'!J18="","",'Spielplan-So'!J18)</f>
      </c>
      <c r="L40" s="29" t="str">
        <f>IF('Spielplan-So'!K18="","",'Spielplan-So'!K18)</f>
        <v>:</v>
      </c>
      <c r="M40" s="29">
        <f>IF('Spielplan-So'!L18="","",'Spielplan-So'!L18)</f>
      </c>
      <c r="N40" s="29"/>
      <c r="O40" s="29"/>
      <c r="P40" s="29"/>
      <c r="Q40" s="29"/>
      <c r="R40" s="29"/>
      <c r="S40" s="29"/>
      <c r="T40" s="29">
        <f>IF('Spielplan-So'!S18="","",'Spielplan-So'!S18)</f>
      </c>
      <c r="U40" s="29">
        <f>IF('Spielplan-So'!T18="","",'Spielplan-So'!T18)</f>
      </c>
      <c r="V40" s="29"/>
      <c r="W40" s="29"/>
      <c r="X40" s="29" t="str">
        <f>IF('Spielplan-So'!W18="","",'Spielplan-So'!W18)</f>
        <v>Platzierung</v>
      </c>
      <c r="Y40" s="407">
        <f>'Spielplan-So'!X18</f>
        <v>43716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ht="15" customHeight="1" hidden="1">
      <c r="A41" s="28">
        <f t="shared" si="0"/>
        <v>22</v>
      </c>
      <c r="B41" s="406">
        <f>IF('Spielplan-So'!A19="","",'Spielplan-So'!A19)</f>
        <v>11</v>
      </c>
      <c r="C41" s="436">
        <f>IF('Spielplan-So'!B19="","",'Spielplan-So'!B19)</f>
        <v>0.375</v>
      </c>
      <c r="D41" s="406">
        <f>IF('Spielplan-So'!C19="","",'Spielplan-So'!C19)</f>
        <v>22</v>
      </c>
      <c r="E41" s="406">
        <f>IF('Spielplan-So'!D19="","",'Spielplan-So'!D19)</f>
        <v>2</v>
      </c>
      <c r="F41" s="29">
        <f>IF('Spielplan-So'!E20="","",'Spielplan-So'!E20)</f>
      </c>
      <c r="G41" s="29" t="str">
        <f>IF('Spielplan-So'!F20="","",'Spielplan-So'!F20)</f>
        <v>:</v>
      </c>
      <c r="H41" s="29">
        <f>IF('Spielplan-So'!G20="","",'Spielplan-So'!G20)</f>
      </c>
      <c r="I41" s="29"/>
      <c r="J41" s="29"/>
      <c r="K41" s="29">
        <f>IF('Spielplan-So'!J20="","",'Spielplan-So'!J20)</f>
      </c>
      <c r="L41" s="29" t="str">
        <f>IF('Spielplan-So'!K20="","",'Spielplan-So'!K20)</f>
        <v>:</v>
      </c>
      <c r="M41" s="29">
        <f>IF('Spielplan-So'!L20="","",'Spielplan-So'!L20)</f>
      </c>
      <c r="N41" s="29"/>
      <c r="O41" s="29"/>
      <c r="P41" s="29"/>
      <c r="Q41" s="29"/>
      <c r="R41" s="29"/>
      <c r="S41" s="29"/>
      <c r="T41" s="29">
        <f>IF('Spielplan-So'!S20="","",'Spielplan-So'!S20)</f>
      </c>
      <c r="U41" s="29">
        <f>IF('Spielplan-So'!T20="","",'Spielplan-So'!T20)</f>
      </c>
      <c r="V41" s="29"/>
      <c r="W41" s="29"/>
      <c r="X41" s="29" t="str">
        <f>IF('Spielplan-So'!W20="","",'Spielplan-So'!W20)</f>
        <v>Platzierung</v>
      </c>
      <c r="Y41" s="407">
        <f>'Spielplan-So'!X18</f>
        <v>43716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ht="15" customHeight="1" hidden="1">
      <c r="A42" s="28">
        <f t="shared" si="0"/>
        <v>23</v>
      </c>
      <c r="B42" s="406">
        <f>IF('Spielplan-So'!A21="","",'Spielplan-So'!A21)</f>
        <v>12</v>
      </c>
      <c r="C42" s="436" t="str">
        <f>IF('Spielplan-So'!B21="","",'Spielplan-So'!B21)</f>
        <v>anschl.</v>
      </c>
      <c r="D42" s="406">
        <f>IF('Spielplan-So'!C21="","",'Spielplan-So'!C21)</f>
        <v>23</v>
      </c>
      <c r="E42" s="406">
        <f>IF('Spielplan-So'!D21="","",'Spielplan-So'!D21)</f>
        <v>1</v>
      </c>
      <c r="F42" s="29">
        <f>IF('Spielplan-So'!E22="","",'Spielplan-So'!E22)</f>
      </c>
      <c r="G42" s="29" t="str">
        <f>IF('Spielplan-So'!F22="","",'Spielplan-So'!F22)</f>
        <v>:</v>
      </c>
      <c r="H42" s="29">
        <f>IF('Spielplan-So'!G22="","",'Spielplan-So'!G22)</f>
      </c>
      <c r="I42" s="29"/>
      <c r="J42" s="29"/>
      <c r="K42" s="29">
        <f>IF('Spielplan-So'!J22="","",'Spielplan-So'!J22)</f>
      </c>
      <c r="L42" s="29" t="str">
        <f>IF('Spielplan-So'!K22="","",'Spielplan-So'!K22)</f>
        <v>:</v>
      </c>
      <c r="M42" s="29">
        <f>IF('Spielplan-So'!L22="","",'Spielplan-So'!L22)</f>
      </c>
      <c r="N42" s="29"/>
      <c r="O42" s="29"/>
      <c r="P42" s="29"/>
      <c r="Q42" s="29"/>
      <c r="R42" s="29"/>
      <c r="S42" s="29"/>
      <c r="T42" s="29">
        <f>IF('Spielplan-So'!S22="","",'Spielplan-So'!S22)</f>
      </c>
      <c r="U42" s="29">
        <f>IF('Spielplan-So'!T22="","",'Spielplan-So'!T22)</f>
      </c>
      <c r="V42" s="29"/>
      <c r="W42" s="29"/>
      <c r="X42" s="29" t="str">
        <f>IF('Spielplan-So'!W22="","",'Spielplan-So'!W22)</f>
        <v>Qualifikation</v>
      </c>
      <c r="Y42" s="407">
        <f>'Spielplan-So'!X19</f>
        <v>43716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ht="15" customHeight="1" hidden="1">
      <c r="A43" s="28">
        <f t="shared" si="0"/>
        <v>24</v>
      </c>
      <c r="B43" s="406">
        <f>IF('Spielplan-So'!A23="","",'Spielplan-So'!A23)</f>
        <v>12</v>
      </c>
      <c r="C43" s="436" t="str">
        <f>IF('Spielplan-So'!B23="","",'Spielplan-So'!B23)</f>
        <v>anschl.</v>
      </c>
      <c r="D43" s="406">
        <f>IF('Spielplan-So'!C23="","",'Spielplan-So'!C23)</f>
        <v>24</v>
      </c>
      <c r="E43" s="406">
        <f>IF('Spielplan-So'!D23="","",'Spielplan-So'!D23)</f>
        <v>2</v>
      </c>
      <c r="F43" s="29">
        <f>IF('Spielplan-So'!E24="","",'Spielplan-So'!E24)</f>
      </c>
      <c r="G43" s="29" t="str">
        <f>IF('Spielplan-So'!F24="","",'Spielplan-So'!F24)</f>
        <v>:</v>
      </c>
      <c r="H43" s="29">
        <f>IF('Spielplan-So'!G24="","",'Spielplan-So'!G24)</f>
      </c>
      <c r="I43" s="29"/>
      <c r="J43" s="29"/>
      <c r="K43" s="29">
        <f>IF('Spielplan-So'!J24="","",'Spielplan-So'!J24)</f>
      </c>
      <c r="L43" s="29" t="str">
        <f>IF('Spielplan-So'!K24="","",'Spielplan-So'!K24)</f>
        <v>:</v>
      </c>
      <c r="M43" s="29">
        <f>IF('Spielplan-So'!L24="","",'Spielplan-So'!L24)</f>
      </c>
      <c r="N43" s="29"/>
      <c r="O43" s="29"/>
      <c r="P43" s="29"/>
      <c r="Q43" s="29"/>
      <c r="R43" s="29"/>
      <c r="S43" s="29"/>
      <c r="T43" s="29">
        <f>IF('Spielplan-So'!S24="","",'Spielplan-So'!S24)</f>
      </c>
      <c r="U43" s="29">
        <f>IF('Spielplan-So'!T24="","",'Spielplan-So'!T24)</f>
      </c>
      <c r="V43" s="29"/>
      <c r="W43" s="29"/>
      <c r="X43" s="29" t="str">
        <f>IF('Spielplan-So'!W24="","",'Spielplan-So'!W24)</f>
        <v>Qualifikation</v>
      </c>
      <c r="Y43" s="407">
        <f>'Spielplan-So'!X20</f>
        <v>43716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ht="15" customHeight="1" hidden="1">
      <c r="A44" s="28">
        <f t="shared" si="0"/>
        <v>25</v>
      </c>
      <c r="B44" s="406">
        <f>IF('Spielplan-So'!A25="","",'Spielplan-So'!A25)</f>
        <v>13</v>
      </c>
      <c r="C44" s="436" t="str">
        <f>IF('Spielplan-So'!B25="","",'Spielplan-So'!B25)</f>
        <v>anschl.</v>
      </c>
      <c r="D44" s="406">
        <f>IF('Spielplan-So'!C25="","",'Spielplan-So'!C25)</f>
        <v>25</v>
      </c>
      <c r="E44" s="406">
        <f>IF('Spielplan-So'!D25="","",'Spielplan-So'!D25)</f>
        <v>1</v>
      </c>
      <c r="F44" s="29">
        <f>IF('Spielplan-So'!E26="","",'Spielplan-So'!E26)</f>
      </c>
      <c r="G44" s="29" t="str">
        <f>IF('Spielplan-So'!F26="","",'Spielplan-So'!F26)</f>
        <v>:</v>
      </c>
      <c r="H44" s="29">
        <f>IF('Spielplan-So'!G26="","",'Spielplan-So'!G26)</f>
      </c>
      <c r="I44" s="29"/>
      <c r="J44" s="29"/>
      <c r="K44" s="29">
        <f>IF('Spielplan-So'!J26="","",'Spielplan-So'!J26)</f>
      </c>
      <c r="L44" s="29" t="str">
        <f>IF('Spielplan-So'!K26="","",'Spielplan-So'!K26)</f>
        <v>:</v>
      </c>
      <c r="M44" s="29">
        <f>IF('Spielplan-So'!L26="","",'Spielplan-So'!L26)</f>
      </c>
      <c r="N44" s="29"/>
      <c r="O44" s="29"/>
      <c r="P44" s="29"/>
      <c r="Q44" s="29"/>
      <c r="R44" s="29"/>
      <c r="S44" s="29"/>
      <c r="T44" s="29">
        <f>IF('Spielplan-So'!S26="","",'Spielplan-So'!S26)</f>
      </c>
      <c r="U44" s="29">
        <f>IF('Spielplan-So'!T26="","",'Spielplan-So'!T26)</f>
      </c>
      <c r="V44" s="29"/>
      <c r="W44" s="29"/>
      <c r="X44" s="29" t="str">
        <f>IF('Spielplan-So'!W26="","",'Spielplan-So'!W26)</f>
        <v>Platz 9/10</v>
      </c>
      <c r="Y44" s="407">
        <f>'Spielplan-So'!X21</f>
        <v>43716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ht="15" customHeight="1" hidden="1">
      <c r="A45" s="28">
        <f t="shared" si="0"/>
        <v>26</v>
      </c>
      <c r="B45" s="406">
        <f>IF('Spielplan-So'!A27="","",'Spielplan-So'!A27)</f>
        <v>13</v>
      </c>
      <c r="C45" s="436" t="str">
        <f>IF('Spielplan-So'!B27="","",'Spielplan-So'!B27)</f>
        <v>anschl.</v>
      </c>
      <c r="D45" s="406">
        <f>IF('Spielplan-So'!C27="","",'Spielplan-So'!C27)</f>
        <v>26</v>
      </c>
      <c r="E45" s="406">
        <f>IF('Spielplan-So'!D27="","",'Spielplan-So'!D27)</f>
        <v>2</v>
      </c>
      <c r="F45" s="29">
        <f>IF('Spielplan-So'!E28="","",'Spielplan-So'!E28)</f>
      </c>
      <c r="G45" s="29" t="str">
        <f>IF('Spielplan-So'!F28="","",'Spielplan-So'!F28)</f>
        <v>:</v>
      </c>
      <c r="H45" s="29">
        <f>IF('Spielplan-So'!G28="","",'Spielplan-So'!G28)</f>
      </c>
      <c r="I45" s="29"/>
      <c r="J45" s="29"/>
      <c r="K45" s="29">
        <f>IF('Spielplan-So'!J28="","",'Spielplan-So'!J28)</f>
      </c>
      <c r="L45" s="29" t="str">
        <f>IF('Spielplan-So'!K28="","",'Spielplan-So'!K28)</f>
        <v>:</v>
      </c>
      <c r="M45" s="29">
        <f>IF('Spielplan-So'!L28="","",'Spielplan-So'!L28)</f>
      </c>
      <c r="N45" s="29"/>
      <c r="O45" s="29"/>
      <c r="P45" s="29"/>
      <c r="Q45" s="29"/>
      <c r="R45" s="29"/>
      <c r="S45" s="29"/>
      <c r="T45" s="29">
        <f>IF('Spielplan-So'!S28="","",'Spielplan-So'!S28)</f>
      </c>
      <c r="U45" s="29">
        <f>IF('Spielplan-So'!T28="","",'Spielplan-So'!T28)</f>
      </c>
      <c r="V45" s="29"/>
      <c r="W45" s="29"/>
      <c r="X45" s="29" t="str">
        <f>IF('Spielplan-So'!W28="","",'Spielplan-So'!W28)</f>
        <v>Platz 7/8</v>
      </c>
      <c r="Y45" s="407">
        <f>'Spielplan-So'!X22</f>
        <v>43716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ht="15" customHeight="1" hidden="1">
      <c r="A46" s="28">
        <f t="shared" si="0"/>
        <v>27</v>
      </c>
      <c r="B46" s="406">
        <f>IF('Spielplan-So'!A30="","",'Spielplan-So'!A30)</f>
        <v>14</v>
      </c>
      <c r="C46" s="436" t="str">
        <f>IF('Spielplan-So'!B30="","",'Spielplan-So'!B30)</f>
        <v>anschl.</v>
      </c>
      <c r="D46" s="406">
        <f>IF('Spielplan-So'!C30="","",'Spielplan-So'!C30)</f>
        <v>27</v>
      </c>
      <c r="E46" s="406">
        <f>IF('Spielplan-So'!D30="","",'Spielplan-So'!D30)</f>
        <v>1</v>
      </c>
      <c r="F46" s="29">
        <f>IF('Spielplan-So'!E31="","",'Spielplan-So'!E31)</f>
      </c>
      <c r="G46" s="29" t="str">
        <f>IF('Spielplan-So'!F31="","",'Spielplan-So'!F31)</f>
        <v>:</v>
      </c>
      <c r="H46" s="29">
        <f>IF('Spielplan-So'!G31="","",'Spielplan-So'!G31)</f>
      </c>
      <c r="I46" s="29"/>
      <c r="J46" s="29"/>
      <c r="K46" s="29">
        <f>IF('Spielplan-So'!J31="","",'Spielplan-So'!J31)</f>
      </c>
      <c r="L46" s="29" t="str">
        <f>IF('Spielplan-So'!K31="","",'Spielplan-So'!K31)</f>
        <v>:</v>
      </c>
      <c r="M46" s="29">
        <f>IF('Spielplan-So'!L31="","",'Spielplan-So'!L31)</f>
      </c>
      <c r="N46" s="29"/>
      <c r="O46" s="29"/>
      <c r="P46" s="29"/>
      <c r="Q46" s="29"/>
      <c r="R46" s="29"/>
      <c r="S46" s="29"/>
      <c r="T46" s="29">
        <f>IF('Spielplan-So'!S31="","",'Spielplan-So'!S31)</f>
      </c>
      <c r="U46" s="29">
        <f>IF('Spielplan-So'!T31="","",'Spielplan-So'!T31)</f>
      </c>
      <c r="V46" s="29"/>
      <c r="W46" s="29"/>
      <c r="X46" s="29" t="str">
        <f>IF('Spielplan-So'!W31="","",'Spielplan-So'!W31)</f>
        <v>Halbfinale</v>
      </c>
      <c r="Y46" s="407">
        <f>'Spielplan-So'!X23</f>
        <v>43716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40" ht="15" customHeight="1" hidden="1">
      <c r="A47" s="28">
        <f t="shared" si="0"/>
        <v>28</v>
      </c>
      <c r="B47" s="406">
        <f>IF('Spielplan-So'!A32="","",'Spielplan-So'!A32)</f>
      </c>
      <c r="C47" s="436">
        <f>IF('Spielplan-So'!B32="","",'Spielplan-So'!B32)</f>
      </c>
      <c r="D47" s="406">
        <f>IF('Spielplan-So'!C32="","",'Spielplan-So'!C32)</f>
        <v>28</v>
      </c>
      <c r="E47" s="406">
        <f>IF('Spielplan-So'!D32="","",'Spielplan-So'!D32)</f>
        <v>2</v>
      </c>
      <c r="F47" s="29">
        <f>IF('Spielplan-So'!E33="","",'Spielplan-So'!E33)</f>
      </c>
      <c r="G47" s="29" t="str">
        <f>IF('Spielplan-So'!F33="","",'Spielplan-So'!F33)</f>
        <v>:</v>
      </c>
      <c r="H47" s="29">
        <f>IF('Spielplan-So'!G33="","",'Spielplan-So'!G33)</f>
      </c>
      <c r="I47" s="29"/>
      <c r="J47" s="29"/>
      <c r="K47" s="29">
        <f>IF('Spielplan-So'!J33="","",'Spielplan-So'!J33)</f>
      </c>
      <c r="L47" s="29" t="str">
        <f>IF('Spielplan-So'!K33="","",'Spielplan-So'!K33)</f>
        <v>:</v>
      </c>
      <c r="M47" s="29">
        <f>IF('Spielplan-So'!L33="","",'Spielplan-So'!L33)</f>
      </c>
      <c r="N47" s="29"/>
      <c r="O47" s="29"/>
      <c r="P47" s="29"/>
      <c r="Q47" s="29"/>
      <c r="R47" s="29"/>
      <c r="S47" s="29"/>
      <c r="T47" s="29">
        <f>IF('Spielplan-So'!S33="","",'Spielplan-So'!S33)</f>
      </c>
      <c r="U47" s="29">
        <f>IF('Spielplan-So'!T33="","",'Spielplan-So'!T33)</f>
      </c>
      <c r="V47" s="29"/>
      <c r="W47" s="29"/>
      <c r="X47" s="29" t="str">
        <f>IF('Spielplan-So'!W33="","",'Spielplan-So'!W33)</f>
        <v>Halbfinale</v>
      </c>
      <c r="Y47" s="407">
        <f>'Spielplan-So'!X24</f>
        <v>43716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ht="15" customHeight="1" hidden="1">
      <c r="A48" s="28">
        <f t="shared" si="0"/>
        <v>29</v>
      </c>
      <c r="B48" s="406">
        <f>IF('Spielplan-So'!A34="","",'Spielplan-So'!A34)</f>
        <v>15</v>
      </c>
      <c r="C48" s="436" t="str">
        <f>IF('Spielplan-So'!B34="","",'Spielplan-So'!B34)</f>
        <v>anschl.</v>
      </c>
      <c r="D48" s="406">
        <f>IF('Spielplan-So'!C34="","",'Spielplan-So'!C34)</f>
        <v>29</v>
      </c>
      <c r="E48" s="406">
        <f>IF('Spielplan-So'!D34="","",'Spielplan-So'!D34)</f>
        <v>1</v>
      </c>
      <c r="F48" s="29">
        <f>IF('Spielplan-So'!E35="","",'Spielplan-So'!E35)</f>
      </c>
      <c r="G48" s="29" t="str">
        <f>IF('Spielplan-So'!F35="","",'Spielplan-So'!F35)</f>
        <v>:</v>
      </c>
      <c r="H48" s="29">
        <f>IF('Spielplan-So'!G35="","",'Spielplan-So'!G35)</f>
      </c>
      <c r="I48" s="29"/>
      <c r="J48" s="29"/>
      <c r="K48" s="29">
        <f>IF('Spielplan-So'!J35="","",'Spielplan-So'!J35)</f>
      </c>
      <c r="L48" s="29" t="str">
        <f>IF('Spielplan-So'!K35="","",'Spielplan-So'!K35)</f>
        <v>:</v>
      </c>
      <c r="M48" s="29">
        <f>IF('Spielplan-So'!L35="","",'Spielplan-So'!L35)</f>
      </c>
      <c r="N48" s="29"/>
      <c r="O48" s="29"/>
      <c r="P48" s="29"/>
      <c r="Q48" s="29"/>
      <c r="R48" s="29"/>
      <c r="S48" s="29"/>
      <c r="T48" s="29">
        <f>IF('Spielplan-So'!S35="","",'Spielplan-So'!S35)</f>
      </c>
      <c r="U48" s="29">
        <f>IF('Spielplan-So'!T35="","",'Spielplan-So'!T35)</f>
      </c>
      <c r="V48" s="29"/>
      <c r="W48" s="29"/>
      <c r="X48" s="29" t="str">
        <f>IF('Spielplan-So'!W35="","",'Spielplan-So'!W35)</f>
        <v>Platz 5/6</v>
      </c>
      <c r="Y48" s="407">
        <f>'Spielplan-So'!X25</f>
        <v>43716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ht="15" customHeight="1" hidden="1">
      <c r="A49" s="28">
        <f t="shared" si="0"/>
        <v>30</v>
      </c>
      <c r="B49" s="406">
        <f>IF('Spielplan-So'!A36="","",'Spielplan-So'!A36)</f>
        <v>16</v>
      </c>
      <c r="C49" s="436" t="str">
        <f>IF('Spielplan-So'!B36="","",'Spielplan-So'!B36)</f>
        <v>anschl.</v>
      </c>
      <c r="D49" s="406">
        <f>IF('Spielplan-So'!C36="","",'Spielplan-So'!C36)</f>
        <v>30</v>
      </c>
      <c r="E49" s="406">
        <f>IF('Spielplan-So'!D36="","",'Spielplan-So'!D36)</f>
        <v>2</v>
      </c>
      <c r="F49" s="29">
        <f>IF('Spielplan-So'!E37="","",'Spielplan-So'!E37)</f>
      </c>
      <c r="G49" s="29" t="str">
        <f>IF('Spielplan-So'!F37="","",'Spielplan-So'!F37)</f>
        <v>:</v>
      </c>
      <c r="H49" s="29">
        <f>IF('Spielplan-So'!G37="","",'Spielplan-So'!G37)</f>
      </c>
      <c r="I49" s="29"/>
      <c r="J49" s="29"/>
      <c r="K49" s="29">
        <f>IF('Spielplan-So'!J37="","",'Spielplan-So'!J37)</f>
      </c>
      <c r="L49" s="29" t="str">
        <f>IF('Spielplan-So'!K37="","",'Spielplan-So'!K37)</f>
        <v>:</v>
      </c>
      <c r="M49" s="29">
        <f>IF('Spielplan-So'!L37="","",'Spielplan-So'!L37)</f>
      </c>
      <c r="N49" s="29"/>
      <c r="O49" s="29"/>
      <c r="P49" s="29"/>
      <c r="Q49" s="29"/>
      <c r="R49" s="29"/>
      <c r="S49" s="29"/>
      <c r="T49" s="29">
        <f>IF('Spielplan-So'!S37="","",'Spielplan-So'!S37)</f>
      </c>
      <c r="U49" s="29">
        <f>IF('Spielplan-So'!T37="","",'Spielplan-So'!T37)</f>
      </c>
      <c r="V49" s="29"/>
      <c r="W49" s="29"/>
      <c r="X49" s="29" t="str">
        <f>IF('Spielplan-So'!W37="","",'Spielplan-So'!W37)</f>
        <v>Platz 3/4</v>
      </c>
      <c r="Y49" s="407">
        <f>'Spielplan-So'!X26</f>
        <v>43716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0" s="409" customFormat="1" ht="15" customHeight="1" hidden="1">
      <c r="A50" s="28">
        <f t="shared" si="0"/>
        <v>31</v>
      </c>
      <c r="B50" s="406">
        <f>IF('Spielplan-So'!A38="","",'Spielplan-So'!A38)</f>
        <v>17</v>
      </c>
      <c r="C50" s="436" t="str">
        <f>IF('Spielplan-So'!B38="","",'Spielplan-So'!B38)</f>
        <v>anschl.</v>
      </c>
      <c r="D50" s="406">
        <f>IF('Spielplan-So'!C38="","",'Spielplan-So'!C38)</f>
        <v>31</v>
      </c>
      <c r="E50" s="406">
        <f>IF('Spielplan-So'!D38="","",'Spielplan-So'!D38)</f>
        <v>1</v>
      </c>
      <c r="F50" s="29">
        <f>IF('Spielplan-So'!E39="","",'Spielplan-So'!E39)</f>
      </c>
      <c r="G50" s="29" t="str">
        <f>IF('Spielplan-So'!F39="","",'Spielplan-So'!F39)</f>
        <v>:</v>
      </c>
      <c r="H50" s="29">
        <f>IF('Spielplan-So'!G39="","",'Spielplan-So'!G39)</f>
      </c>
      <c r="I50" s="29"/>
      <c r="J50" s="29"/>
      <c r="K50" s="29">
        <f>IF('Spielplan-So'!J39="","",'Spielplan-So'!J39)</f>
      </c>
      <c r="L50" s="29" t="str">
        <f>IF('Spielplan-So'!K39="","",'Spielplan-So'!K39)</f>
        <v>:</v>
      </c>
      <c r="M50" s="29">
        <f>IF('Spielplan-So'!L39="","",'Spielplan-So'!L39)</f>
      </c>
      <c r="N50" s="29"/>
      <c r="O50" s="29"/>
      <c r="P50" s="29"/>
      <c r="Q50" s="29"/>
      <c r="R50" s="29"/>
      <c r="S50" s="29"/>
      <c r="T50" s="29">
        <f>IF('Spielplan-So'!S39="","",'Spielplan-So'!S39)</f>
      </c>
      <c r="U50" s="29">
        <f>IF('Spielplan-So'!T39="","",'Spielplan-So'!T39)</f>
      </c>
      <c r="V50" s="29"/>
      <c r="W50" s="29"/>
      <c r="X50" s="29" t="str">
        <f>IF('Spielplan-So'!W39="","",'Spielplan-So'!W39)</f>
        <v>Finale</v>
      </c>
      <c r="Y50" s="407">
        <f>'Spielplan-So'!X27</f>
        <v>43716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409" customFormat="1" ht="15" customHeight="1">
      <c r="A51" s="28">
        <v>32</v>
      </c>
      <c r="B51" s="523"/>
      <c r="C51" s="523"/>
      <c r="D51" s="13"/>
      <c r="E51" s="1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 t="s">
        <v>111</v>
      </c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s="409" customFormat="1" ht="15" customHeight="1">
      <c r="A52" s="28">
        <v>33</v>
      </c>
      <c r="B52" s="523"/>
      <c r="C52" s="523"/>
      <c r="D52" s="13"/>
      <c r="E52" s="1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 t="s">
        <v>112</v>
      </c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s="409" customFormat="1" ht="15" customHeight="1">
      <c r="A53" s="28">
        <v>34</v>
      </c>
      <c r="B53" s="523"/>
      <c r="C53" s="523"/>
      <c r="D53" s="13"/>
      <c r="E53" s="1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s="409" customFormat="1" ht="15" customHeight="1">
      <c r="A54" s="28">
        <v>35</v>
      </c>
      <c r="B54" s="523"/>
      <c r="C54" s="523"/>
      <c r="D54" s="13"/>
      <c r="E54" s="1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s="409" customFormat="1" ht="15" customHeight="1">
      <c r="A55" s="28">
        <v>26</v>
      </c>
      <c r="B55" s="523"/>
      <c r="C55" s="523"/>
      <c r="D55" s="13"/>
      <c r="E55" s="1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s="409" customFormat="1" ht="15" customHeight="1">
      <c r="A56" s="28">
        <v>37</v>
      </c>
      <c r="B56" s="523"/>
      <c r="C56" s="523"/>
      <c r="D56" s="13"/>
      <c r="E56" s="1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5:30" ht="15.75">
      <c r="E57" s="51"/>
      <c r="F57" s="725">
        <f>I10</f>
      </c>
      <c r="G57" s="725"/>
      <c r="H57" s="725"/>
      <c r="I57" s="725"/>
      <c r="J57" s="725"/>
      <c r="K57" s="13"/>
      <c r="L57" s="13"/>
      <c r="M57" s="13"/>
      <c r="N57" s="13"/>
      <c r="O57" s="13"/>
      <c r="P57" s="13"/>
      <c r="S57" s="409"/>
      <c r="T57" s="725">
        <f>I13</f>
      </c>
      <c r="U57" s="725"/>
      <c r="V57" s="725"/>
      <c r="W57" s="725"/>
      <c r="X57" s="725"/>
      <c r="Y57" s="725"/>
      <c r="Z57" s="725"/>
      <c r="AA57" s="725"/>
      <c r="AB57" s="725"/>
      <c r="AC57" s="725"/>
      <c r="AD57" s="725"/>
    </row>
    <row r="58" spans="5:30" ht="15.75">
      <c r="E58" s="51"/>
      <c r="F58" s="725">
        <f>I11</f>
      </c>
      <c r="G58" s="725"/>
      <c r="H58" s="725"/>
      <c r="I58" s="725"/>
      <c r="J58" s="725"/>
      <c r="S58" s="409"/>
      <c r="T58" s="725">
        <f>I14</f>
      </c>
      <c r="U58" s="725"/>
      <c r="V58" s="725"/>
      <c r="W58" s="725"/>
      <c r="X58" s="725"/>
      <c r="Y58" s="725"/>
      <c r="Z58" s="725"/>
      <c r="AA58" s="725"/>
      <c r="AB58" s="725"/>
      <c r="AC58" s="725"/>
      <c r="AD58" s="725"/>
    </row>
  </sheetData>
  <sheetProtection selectLockedCells="1"/>
  <mergeCells count="82">
    <mergeCell ref="AI17:AK18"/>
    <mergeCell ref="AL17:AN18"/>
    <mergeCell ref="G17:G18"/>
    <mergeCell ref="Z17:Z18"/>
    <mergeCell ref="AA17:AA18"/>
    <mergeCell ref="AB17:AB18"/>
    <mergeCell ref="AC17:AC18"/>
    <mergeCell ref="AD17:AD18"/>
    <mergeCell ref="N18:P18"/>
    <mergeCell ref="AF17:AH18"/>
    <mergeCell ref="C17:C18"/>
    <mergeCell ref="H24:J24"/>
    <mergeCell ref="AE17:AE18"/>
    <mergeCell ref="U20:W20"/>
    <mergeCell ref="H23:J23"/>
    <mergeCell ref="F17:F18"/>
    <mergeCell ref="H17:J18"/>
    <mergeCell ref="U21:W21"/>
    <mergeCell ref="D19:W19"/>
    <mergeCell ref="U22:W22"/>
    <mergeCell ref="E1:T1"/>
    <mergeCell ref="K5:W5"/>
    <mergeCell ref="K17:S17"/>
    <mergeCell ref="U17:W18"/>
    <mergeCell ref="B15:W15"/>
    <mergeCell ref="K18:M18"/>
    <mergeCell ref="Q18:S18"/>
    <mergeCell ref="F3:U3"/>
    <mergeCell ref="D17:D18"/>
    <mergeCell ref="E17:E18"/>
    <mergeCell ref="U23:W23"/>
    <mergeCell ref="H21:J21"/>
    <mergeCell ref="I13:S13"/>
    <mergeCell ref="I14:S14"/>
    <mergeCell ref="U24:W24"/>
    <mergeCell ref="H27:J27"/>
    <mergeCell ref="U25:W25"/>
    <mergeCell ref="H20:J20"/>
    <mergeCell ref="H29:J29"/>
    <mergeCell ref="U26:W26"/>
    <mergeCell ref="U31:W31"/>
    <mergeCell ref="U28:W28"/>
    <mergeCell ref="U30:W30"/>
    <mergeCell ref="U32:W32"/>
    <mergeCell ref="U27:W27"/>
    <mergeCell ref="H30:J30"/>
    <mergeCell ref="I12:S12"/>
    <mergeCell ref="H38:J38"/>
    <mergeCell ref="H22:J22"/>
    <mergeCell ref="H26:J26"/>
    <mergeCell ref="H37:J37"/>
    <mergeCell ref="H35:J35"/>
    <mergeCell ref="H31:J31"/>
    <mergeCell ref="H25:J25"/>
    <mergeCell ref="H28:J28"/>
    <mergeCell ref="H36:J36"/>
    <mergeCell ref="B4:W4"/>
    <mergeCell ref="B5:J5"/>
    <mergeCell ref="B17:B18"/>
    <mergeCell ref="H7:J7"/>
    <mergeCell ref="K7:T7"/>
    <mergeCell ref="T9:V9"/>
    <mergeCell ref="F9:H9"/>
    <mergeCell ref="J9:R9"/>
    <mergeCell ref="I10:S10"/>
    <mergeCell ref="I11:S11"/>
    <mergeCell ref="H34:J34"/>
    <mergeCell ref="H32:J32"/>
    <mergeCell ref="F58:J58"/>
    <mergeCell ref="H33:J33"/>
    <mergeCell ref="T57:AD57"/>
    <mergeCell ref="T58:AD58"/>
    <mergeCell ref="F57:J57"/>
    <mergeCell ref="H39:J39"/>
    <mergeCell ref="U33:W33"/>
    <mergeCell ref="U36:W36"/>
    <mergeCell ref="U39:W39"/>
    <mergeCell ref="U38:W38"/>
    <mergeCell ref="U37:W37"/>
    <mergeCell ref="U34:W34"/>
    <mergeCell ref="U29:W29"/>
    <mergeCell ref="U35:W35"/>
  </mergeCells>
  <conditionalFormatting sqref="T57:AD58 F57:J58 B15 I10:S11 I13:S14">
    <cfRule type="cellIs" priority="1" dxfId="48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O56"/>
  <sheetViews>
    <sheetView zoomScalePageLayoutView="0" workbookViewId="0" topLeftCell="B1">
      <selection activeCell="G35" sqref="G35:I35"/>
    </sheetView>
  </sheetViews>
  <sheetFormatPr defaultColWidth="11.421875" defaultRowHeight="12.75"/>
  <cols>
    <col min="1" max="1" width="4.57421875" style="13" customWidth="1"/>
    <col min="2" max="2" width="7.28125" style="13" customWidth="1"/>
    <col min="3" max="3" width="7.28125" style="416" customWidth="1"/>
    <col min="4" max="4" width="5.28125" style="13" customWidth="1"/>
    <col min="5" max="5" width="21.7109375" style="13" customWidth="1"/>
    <col min="6" max="6" width="0.85546875" style="13" customWidth="1"/>
    <col min="7" max="7" width="10.28125" style="13" customWidth="1"/>
    <col min="8" max="8" width="2.7109375" style="13" customWidth="1"/>
    <col min="9" max="9" width="10.28125" style="13" customWidth="1"/>
    <col min="10" max="10" width="4.28125" style="13" customWidth="1"/>
    <col min="11" max="11" width="1.7109375" style="13" customWidth="1"/>
    <col min="12" max="13" width="4.28125" style="13" customWidth="1"/>
    <col min="14" max="14" width="1.7109375" style="13" customWidth="1"/>
    <col min="15" max="16" width="4.28125" style="13" customWidth="1"/>
    <col min="17" max="17" width="1.7109375" style="13" customWidth="1"/>
    <col min="18" max="18" width="4.28125" style="13" customWidth="1"/>
    <col min="19" max="19" width="21.7109375" style="13" customWidth="1"/>
    <col min="20" max="20" width="10.28125" style="13" customWidth="1"/>
    <col min="21" max="21" width="2.7109375" style="13" customWidth="1"/>
    <col min="22" max="22" width="10.28125" style="13" customWidth="1"/>
    <col min="23" max="24" width="11.421875" style="13" hidden="1" customWidth="1"/>
    <col min="25" max="30" width="4.8515625" style="49" hidden="1" customWidth="1"/>
    <col min="31" max="31" width="5.7109375" style="49" customWidth="1"/>
    <col min="32" max="32" width="1.7109375" style="49" customWidth="1"/>
    <col min="33" max="34" width="5.7109375" style="49" customWidth="1"/>
    <col min="35" max="35" width="1.7109375" style="49" customWidth="1"/>
    <col min="36" max="37" width="5.7109375" style="49" customWidth="1"/>
    <col min="38" max="38" width="1.7109375" style="49" customWidth="1"/>
    <col min="39" max="39" width="5.7109375" style="49" customWidth="1"/>
    <col min="40" max="16384" width="11.421875" style="13" customWidth="1"/>
  </cols>
  <sheetData>
    <row r="1" spans="1:40" s="282" customFormat="1" ht="22.5" customHeight="1">
      <c r="A1" s="268"/>
      <c r="E1" s="745" t="s">
        <v>123</v>
      </c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234"/>
      <c r="V1" s="268"/>
      <c r="W1" s="268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40" s="282" customFormat="1" ht="6.75" customHeight="1">
      <c r="A2" s="268"/>
      <c r="E2" s="283"/>
      <c r="V2" s="268"/>
      <c r="W2" s="268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40" s="282" customFormat="1" ht="18" customHeight="1">
      <c r="A3" s="268"/>
      <c r="C3" s="520"/>
      <c r="D3" s="234"/>
      <c r="E3" s="717" t="str">
        <f>IF(Mannschaften!D2="","",Mannschaften!D2)</f>
        <v> Deutsche Meisterschaft der Jugend  Feld   2019</v>
      </c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543"/>
      <c r="U3" s="543"/>
      <c r="V3" s="234"/>
      <c r="W3" s="234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</row>
    <row r="4" spans="2:40" s="234" customFormat="1" ht="17.25" customHeight="1">
      <c r="B4" s="728" t="str">
        <f>IF(Mannschaften!I4="","",Mannschaften!I4)</f>
        <v>Hallerstein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</row>
    <row r="5" spans="1:40" s="282" customFormat="1" ht="16.5" customHeight="1">
      <c r="A5" s="268"/>
      <c r="B5" s="718" t="str">
        <f>Mannschaften!A5</f>
        <v>Ausrichter:     </v>
      </c>
      <c r="C5" s="718"/>
      <c r="D5" s="718"/>
      <c r="E5" s="718"/>
      <c r="F5" s="718"/>
      <c r="G5" s="718"/>
      <c r="H5" s="718"/>
      <c r="I5" s="718"/>
      <c r="J5" s="718"/>
      <c r="K5" s="746" t="str">
        <f>IF(Mannschaften!N5="","",Mannschaften!N5)</f>
        <v>TSV Hallerstein</v>
      </c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282" customFormat="1" ht="3.75" customHeight="1">
      <c r="A6" s="268"/>
      <c r="B6" s="443"/>
      <c r="C6" s="443"/>
      <c r="D6" s="443"/>
      <c r="E6" s="444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269"/>
      <c r="W6" s="269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s="282" customFormat="1" ht="16.5" customHeight="1">
      <c r="A7" s="268"/>
      <c r="B7" s="457"/>
      <c r="C7" s="521"/>
      <c r="D7" s="285"/>
      <c r="E7" s="445"/>
      <c r="F7" s="285"/>
      <c r="G7" s="285"/>
      <c r="H7" s="731" t="s">
        <v>110</v>
      </c>
      <c r="I7" s="731"/>
      <c r="J7" s="731"/>
      <c r="K7" s="732">
        <f>Mannschaften!T4</f>
        <v>43716</v>
      </c>
      <c r="L7" s="732"/>
      <c r="M7" s="732"/>
      <c r="N7" s="732"/>
      <c r="O7" s="732"/>
      <c r="P7" s="732"/>
      <c r="Q7" s="732"/>
      <c r="R7" s="732"/>
      <c r="S7" s="732"/>
      <c r="T7" s="732"/>
      <c r="U7" s="285"/>
      <c r="V7" s="285"/>
      <c r="W7" s="285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</row>
    <row r="8" spans="1:40" s="282" customFormat="1" ht="6" customHeight="1" thickBot="1">
      <c r="A8" s="268"/>
      <c r="B8" s="457"/>
      <c r="C8" s="457"/>
      <c r="D8" s="457"/>
      <c r="E8" s="458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269"/>
      <c r="W8" s="269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</row>
    <row r="9" spans="1:39" s="234" customFormat="1" ht="16.5" customHeight="1" thickBot="1">
      <c r="A9" s="282"/>
      <c r="B9" s="282"/>
      <c r="C9" s="283"/>
      <c r="D9" s="733" t="s">
        <v>5</v>
      </c>
      <c r="E9" s="735"/>
      <c r="F9" s="446"/>
      <c r="G9" s="447"/>
      <c r="H9" s="731" t="str">
        <f>Mannschaften!K3</f>
        <v>m U18</v>
      </c>
      <c r="I9" s="731"/>
      <c r="J9" s="731"/>
      <c r="K9" s="731"/>
      <c r="L9" s="731"/>
      <c r="M9" s="731"/>
      <c r="N9" s="731"/>
      <c r="O9" s="447"/>
      <c r="P9" s="447"/>
      <c r="Q9" s="447"/>
      <c r="R9" s="733" t="s">
        <v>6</v>
      </c>
      <c r="S9" s="735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</row>
    <row r="10" spans="1:39" s="234" customFormat="1" ht="16.5" customHeight="1">
      <c r="A10" s="282"/>
      <c r="B10" s="282"/>
      <c r="C10" s="283"/>
      <c r="D10" s="448" t="s">
        <v>40</v>
      </c>
      <c r="E10" s="449">
        <f>'Gruppe A'!J31</f>
      </c>
      <c r="F10" s="450"/>
      <c r="R10" s="448" t="s">
        <v>40</v>
      </c>
      <c r="S10" s="448">
        <f>'Gruppe B'!J31</f>
      </c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</row>
    <row r="11" spans="1:39" s="234" customFormat="1" ht="16.5" customHeight="1">
      <c r="A11" s="282"/>
      <c r="B11" s="282"/>
      <c r="C11" s="283"/>
      <c r="D11" s="451" t="s">
        <v>41</v>
      </c>
      <c r="E11" s="451">
        <f>'Gruppe A'!J32</f>
      </c>
      <c r="F11" s="450"/>
      <c r="G11" s="740" t="s">
        <v>109</v>
      </c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451" t="s">
        <v>41</v>
      </c>
      <c r="S11" s="449">
        <f>'Gruppe B'!J32</f>
      </c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</row>
    <row r="12" spans="1:39" s="234" customFormat="1" ht="16.5" customHeight="1">
      <c r="A12" s="282"/>
      <c r="B12" s="282"/>
      <c r="C12" s="283"/>
      <c r="D12" s="451" t="s">
        <v>42</v>
      </c>
      <c r="E12" s="451">
        <f>'Gruppe A'!J33</f>
      </c>
      <c r="F12" s="739"/>
      <c r="G12" s="740"/>
      <c r="H12" s="740"/>
      <c r="I12" s="740"/>
      <c r="J12" s="740"/>
      <c r="K12" s="740"/>
      <c r="L12" s="740"/>
      <c r="M12" s="740"/>
      <c r="N12" s="740"/>
      <c r="O12" s="740"/>
      <c r="P12" s="740"/>
      <c r="Q12" s="741"/>
      <c r="R12" s="451" t="s">
        <v>42</v>
      </c>
      <c r="S12" s="449">
        <f>'Gruppe B'!J33</f>
      </c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</row>
    <row r="13" spans="1:39" s="234" customFormat="1" ht="16.5" customHeight="1">
      <c r="A13" s="282"/>
      <c r="B13" s="282"/>
      <c r="C13" s="283"/>
      <c r="D13" s="451" t="s">
        <v>43</v>
      </c>
      <c r="E13" s="451">
        <f>'Gruppe A'!J34</f>
      </c>
      <c r="F13" s="450"/>
      <c r="R13" s="451" t="s">
        <v>43</v>
      </c>
      <c r="S13" s="449">
        <f>'Gruppe B'!J34</f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</row>
    <row r="14" spans="1:39" s="234" customFormat="1" ht="16.5" customHeight="1" thickBot="1">
      <c r="A14" s="282"/>
      <c r="B14" s="282"/>
      <c r="C14" s="283"/>
      <c r="D14" s="452" t="s">
        <v>44</v>
      </c>
      <c r="E14" s="452">
        <f>'Gruppe A'!J35</f>
      </c>
      <c r="F14" s="450"/>
      <c r="R14" s="452" t="s">
        <v>44</v>
      </c>
      <c r="S14" s="453">
        <f>'Gruppe B'!J35</f>
      </c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</row>
    <row r="15" spans="1:39" s="234" customFormat="1" ht="16.5" customHeight="1">
      <c r="A15" s="729" t="s">
        <v>0</v>
      </c>
      <c r="B15" s="729" t="s">
        <v>1</v>
      </c>
      <c r="C15" s="754" t="s">
        <v>141</v>
      </c>
      <c r="D15" s="729" t="s">
        <v>139</v>
      </c>
      <c r="E15" s="747" t="s">
        <v>2</v>
      </c>
      <c r="F15" s="748" t="s">
        <v>7</v>
      </c>
      <c r="G15" s="748" t="s">
        <v>3</v>
      </c>
      <c r="H15" s="748"/>
      <c r="I15" s="749"/>
      <c r="J15" s="808" t="s">
        <v>8</v>
      </c>
      <c r="K15" s="809"/>
      <c r="L15" s="809"/>
      <c r="M15" s="809"/>
      <c r="N15" s="809"/>
      <c r="O15" s="809"/>
      <c r="P15" s="809"/>
      <c r="Q15" s="809"/>
      <c r="R15" s="810"/>
      <c r="S15" s="454" t="s">
        <v>143</v>
      </c>
      <c r="T15" s="747" t="s">
        <v>77</v>
      </c>
      <c r="U15" s="748"/>
      <c r="V15" s="749"/>
      <c r="W15" s="455" t="s">
        <v>113</v>
      </c>
      <c r="X15" s="234" t="s">
        <v>114</v>
      </c>
      <c r="Y15" s="756" t="s">
        <v>153</v>
      </c>
      <c r="Z15" s="756" t="s">
        <v>154</v>
      </c>
      <c r="AA15" s="756" t="s">
        <v>155</v>
      </c>
      <c r="AB15" s="756" t="s">
        <v>156</v>
      </c>
      <c r="AC15" s="756" t="s">
        <v>157</v>
      </c>
      <c r="AD15" s="756" t="s">
        <v>158</v>
      </c>
      <c r="AE15" s="758" t="s">
        <v>35</v>
      </c>
      <c r="AF15" s="759"/>
      <c r="AG15" s="760"/>
      <c r="AH15" s="758" t="s">
        <v>134</v>
      </c>
      <c r="AI15" s="759"/>
      <c r="AJ15" s="760"/>
      <c r="AK15" s="758" t="s">
        <v>34</v>
      </c>
      <c r="AL15" s="759"/>
      <c r="AM15" s="760"/>
    </row>
    <row r="16" spans="1:39" s="234" customFormat="1" ht="16.5" customHeight="1" thickBot="1">
      <c r="A16" s="794"/>
      <c r="B16" s="794"/>
      <c r="C16" s="795"/>
      <c r="D16" s="794"/>
      <c r="E16" s="807"/>
      <c r="F16" s="792"/>
      <c r="G16" s="792"/>
      <c r="H16" s="792"/>
      <c r="I16" s="812"/>
      <c r="J16" s="806" t="s">
        <v>140</v>
      </c>
      <c r="K16" s="804"/>
      <c r="L16" s="804"/>
      <c r="M16" s="804" t="s">
        <v>132</v>
      </c>
      <c r="N16" s="804"/>
      <c r="O16" s="804"/>
      <c r="P16" s="804" t="s">
        <v>133</v>
      </c>
      <c r="Q16" s="804"/>
      <c r="R16" s="805"/>
      <c r="S16" s="519" t="s">
        <v>4</v>
      </c>
      <c r="T16" s="807"/>
      <c r="U16" s="792"/>
      <c r="V16" s="812"/>
      <c r="W16" s="455"/>
      <c r="Y16" s="811"/>
      <c r="Z16" s="811"/>
      <c r="AA16" s="811"/>
      <c r="AB16" s="811"/>
      <c r="AC16" s="811"/>
      <c r="AD16" s="811"/>
      <c r="AE16" s="813"/>
      <c r="AF16" s="814"/>
      <c r="AG16" s="815"/>
      <c r="AH16" s="813"/>
      <c r="AI16" s="814"/>
      <c r="AJ16" s="815"/>
      <c r="AK16" s="813"/>
      <c r="AL16" s="814"/>
      <c r="AM16" s="815"/>
    </row>
    <row r="17" spans="1:39" s="234" customFormat="1" ht="16.5" customHeight="1">
      <c r="A17" s="772">
        <v>11</v>
      </c>
      <c r="B17" s="774">
        <v>0.375</v>
      </c>
      <c r="C17" s="772">
        <v>21</v>
      </c>
      <c r="D17" s="764">
        <v>1</v>
      </c>
      <c r="E17" s="410" t="s">
        <v>54</v>
      </c>
      <c r="F17" s="411" t="s">
        <v>7</v>
      </c>
      <c r="G17" s="782" t="s">
        <v>58</v>
      </c>
      <c r="H17" s="782"/>
      <c r="I17" s="783"/>
      <c r="J17" s="776" t="s">
        <v>75</v>
      </c>
      <c r="K17" s="777"/>
      <c r="L17" s="777"/>
      <c r="M17" s="777"/>
      <c r="N17" s="777"/>
      <c r="O17" s="777"/>
      <c r="P17" s="777"/>
      <c r="Q17" s="777"/>
      <c r="R17" s="778"/>
      <c r="S17" s="289" t="s">
        <v>357</v>
      </c>
      <c r="T17" s="766"/>
      <c r="U17" s="767"/>
      <c r="V17" s="768"/>
      <c r="W17" s="552" t="s">
        <v>75</v>
      </c>
      <c r="X17" s="555">
        <f>$K$7</f>
        <v>43716</v>
      </c>
      <c r="Y17" s="412"/>
      <c r="Z17" s="412"/>
      <c r="AA17" s="412"/>
      <c r="AB17" s="412"/>
      <c r="AC17" s="412"/>
      <c r="AD17" s="412"/>
      <c r="AE17" s="816"/>
      <c r="AF17" s="817"/>
      <c r="AG17" s="818"/>
      <c r="AH17" s="816"/>
      <c r="AI17" s="817"/>
      <c r="AJ17" s="818"/>
      <c r="AK17" s="816"/>
      <c r="AL17" s="817"/>
      <c r="AM17" s="818"/>
    </row>
    <row r="18" spans="1:41" s="234" customFormat="1" ht="16.5" customHeight="1" thickBot="1">
      <c r="A18" s="773"/>
      <c r="B18" s="775"/>
      <c r="C18" s="773"/>
      <c r="D18" s="765"/>
      <c r="E18" s="413">
        <f>E13</f>
      </c>
      <c r="F18" s="142" t="s">
        <v>7</v>
      </c>
      <c r="G18" s="790">
        <f>S14</f>
      </c>
      <c r="H18" s="790"/>
      <c r="I18" s="791"/>
      <c r="J18" s="479"/>
      <c r="K18" s="142" t="s">
        <v>7</v>
      </c>
      <c r="L18" s="480"/>
      <c r="M18" s="481"/>
      <c r="N18" s="142" t="s">
        <v>7</v>
      </c>
      <c r="O18" s="480"/>
      <c r="P18" s="481"/>
      <c r="Q18" s="142" t="s">
        <v>7</v>
      </c>
      <c r="R18" s="482"/>
      <c r="S18" s="666">
        <f>E12</f>
      </c>
      <c r="T18" s="769"/>
      <c r="U18" s="770"/>
      <c r="V18" s="771"/>
      <c r="W18" s="553" t="s">
        <v>75</v>
      </c>
      <c r="X18" s="556">
        <f aca="true" t="shared" si="0" ref="X18:X39">$K$7</f>
        <v>43716</v>
      </c>
      <c r="Y18" s="404">
        <f>IF(L18="","",IF(J18&gt;L18,1,0))</f>
      </c>
      <c r="Z18" s="404">
        <f>IF(O18="","",IF(M18&gt;O18,1,0))</f>
      </c>
      <c r="AA18" s="404">
        <f>IF(R18="","",IF(P18&gt;R18,1,0))</f>
      </c>
      <c r="AB18" s="404">
        <f>IF(Y18="","",IF(Y18=0,1,0))</f>
      </c>
      <c r="AC18" s="404">
        <f>IF(Z18="","",IF(Z18=0,1,0))</f>
      </c>
      <c r="AD18" s="404">
        <f>IF(AA18="","",IF(AA18=0,1,0))</f>
      </c>
      <c r="AE18" s="286">
        <f>IF(O18="","",IF(P18=0,J18+M18,J18+M18+P18))</f>
      </c>
      <c r="AF18" s="287" t="s">
        <v>7</v>
      </c>
      <c r="AG18" s="288">
        <f>IF(O18="","",IF(R18="",L18+O18,L18+O18+R18))</f>
      </c>
      <c r="AH18" s="286">
        <f>IF(Z18="","",IF(AA18="",Y18+Z18,Y18+Z18+AA18))</f>
      </c>
      <c r="AI18" s="287" t="s">
        <v>7</v>
      </c>
      <c r="AJ18" s="288">
        <f>IF(Z18="","",IF(AD18="",AB18+AC18,AB18+AC18+AD18))</f>
      </c>
      <c r="AK18" s="286">
        <f>IF(Z18="","",IF(AH18=2,2,IF(AJ18=2,0,"")))</f>
      </c>
      <c r="AL18" s="287" t="s">
        <v>7</v>
      </c>
      <c r="AM18" s="288">
        <f>IF(AK18="","",IF(AJ18=2,2,0))</f>
      </c>
      <c r="AO18" s="669"/>
    </row>
    <row r="19" spans="1:39" s="234" customFormat="1" ht="16.5" customHeight="1">
      <c r="A19" s="786">
        <f>A17</f>
        <v>11</v>
      </c>
      <c r="B19" s="788">
        <f>B17</f>
        <v>0.375</v>
      </c>
      <c r="C19" s="772">
        <v>22</v>
      </c>
      <c r="D19" s="764">
        <v>2</v>
      </c>
      <c r="E19" s="414" t="s">
        <v>55</v>
      </c>
      <c r="F19" s="411" t="s">
        <v>7</v>
      </c>
      <c r="G19" s="782" t="s">
        <v>59</v>
      </c>
      <c r="H19" s="782"/>
      <c r="I19" s="783"/>
      <c r="J19" s="776" t="s">
        <v>75</v>
      </c>
      <c r="K19" s="777"/>
      <c r="L19" s="777"/>
      <c r="M19" s="777"/>
      <c r="N19" s="777"/>
      <c r="O19" s="777"/>
      <c r="P19" s="777"/>
      <c r="Q19" s="777"/>
      <c r="R19" s="778"/>
      <c r="S19" s="289" t="s">
        <v>61</v>
      </c>
      <c r="T19" s="779"/>
      <c r="U19" s="780"/>
      <c r="V19" s="781"/>
      <c r="W19" s="552" t="s">
        <v>75</v>
      </c>
      <c r="X19" s="555">
        <f t="shared" si="0"/>
        <v>43716</v>
      </c>
      <c r="Y19" s="412"/>
      <c r="Z19" s="412"/>
      <c r="AA19" s="412"/>
      <c r="AB19" s="412"/>
      <c r="AC19" s="412"/>
      <c r="AD19" s="412"/>
      <c r="AE19" s="816"/>
      <c r="AF19" s="817"/>
      <c r="AG19" s="818"/>
      <c r="AH19" s="816"/>
      <c r="AI19" s="817"/>
      <c r="AJ19" s="818"/>
      <c r="AK19" s="816"/>
      <c r="AL19" s="817"/>
      <c r="AM19" s="818"/>
    </row>
    <row r="20" spans="1:39" s="234" customFormat="1" ht="16.5" customHeight="1" thickBot="1">
      <c r="A20" s="787"/>
      <c r="B20" s="789"/>
      <c r="C20" s="773"/>
      <c r="D20" s="765"/>
      <c r="E20" s="415">
        <f>S13</f>
      </c>
      <c r="F20" s="142" t="s">
        <v>7</v>
      </c>
      <c r="G20" s="790">
        <f>E14</f>
      </c>
      <c r="H20" s="790"/>
      <c r="I20" s="791"/>
      <c r="J20" s="479"/>
      <c r="K20" s="142" t="s">
        <v>7</v>
      </c>
      <c r="L20" s="480"/>
      <c r="M20" s="481"/>
      <c r="N20" s="142" t="s">
        <v>7</v>
      </c>
      <c r="O20" s="480"/>
      <c r="P20" s="481"/>
      <c r="Q20" s="142" t="s">
        <v>7</v>
      </c>
      <c r="R20" s="482"/>
      <c r="S20" s="666">
        <f>S12</f>
      </c>
      <c r="T20" s="769"/>
      <c r="U20" s="770"/>
      <c r="V20" s="771"/>
      <c r="W20" s="553" t="s">
        <v>75</v>
      </c>
      <c r="X20" s="556">
        <f t="shared" si="0"/>
        <v>43716</v>
      </c>
      <c r="Y20" s="404">
        <f>IF(L20="","",IF(J20&gt;L20,1,0))</f>
      </c>
      <c r="Z20" s="404">
        <f>IF(O20="","",IF(M20&gt;O20,1,0))</f>
      </c>
      <c r="AA20" s="404">
        <f>IF(R20="","",IF(P20&gt;R20,1,0))</f>
      </c>
      <c r="AB20" s="404">
        <f>IF(Y20="","",IF(Y20=0,1,0))</f>
      </c>
      <c r="AC20" s="404">
        <f>IF(Z20="","",IF(Z20=0,1,0))</f>
      </c>
      <c r="AD20" s="404">
        <f>IF(AA20="","",IF(AA20=0,1,0))</f>
      </c>
      <c r="AE20" s="286">
        <f>IF(O20="","",IF(P20=0,J20+M20,J20+M20+P20))</f>
      </c>
      <c r="AF20" s="287" t="s">
        <v>7</v>
      </c>
      <c r="AG20" s="288">
        <f>IF(O20="","",IF(R20="",L20+O20,L20+O20+R20))</f>
      </c>
      <c r="AH20" s="286">
        <f>IF(Z20="","",IF(AA20="",Y20+Z20,Y20+Z20+AA20))</f>
      </c>
      <c r="AI20" s="287" t="s">
        <v>7</v>
      </c>
      <c r="AJ20" s="288">
        <f>IF(Z20="","",IF(AD20="",AB20+AC20,AB20+AC20+AD20))</f>
      </c>
      <c r="AK20" s="286">
        <f>IF(Z20="","",IF(AH20=2,2,IF(AJ20=2,0,"")))</f>
      </c>
      <c r="AL20" s="287" t="s">
        <v>7</v>
      </c>
      <c r="AM20" s="288">
        <f>IF(AK20="","",IF(AJ20=2,2,0))</f>
      </c>
    </row>
    <row r="21" spans="1:39" s="234" customFormat="1" ht="16.5" customHeight="1">
      <c r="A21" s="772">
        <v>12</v>
      </c>
      <c r="B21" s="774" t="s">
        <v>354</v>
      </c>
      <c r="C21" s="772">
        <v>23</v>
      </c>
      <c r="D21" s="764">
        <v>1</v>
      </c>
      <c r="E21" s="414" t="s">
        <v>56</v>
      </c>
      <c r="F21" s="411" t="s">
        <v>7</v>
      </c>
      <c r="G21" s="782" t="s">
        <v>60</v>
      </c>
      <c r="H21" s="782"/>
      <c r="I21" s="783"/>
      <c r="J21" s="776" t="s">
        <v>76</v>
      </c>
      <c r="K21" s="777"/>
      <c r="L21" s="777"/>
      <c r="M21" s="777"/>
      <c r="N21" s="777"/>
      <c r="O21" s="777"/>
      <c r="P21" s="777"/>
      <c r="Q21" s="777"/>
      <c r="R21" s="778"/>
      <c r="S21" s="289" t="s">
        <v>64</v>
      </c>
      <c r="T21" s="779"/>
      <c r="U21" s="780"/>
      <c r="V21" s="781"/>
      <c r="W21" s="552" t="s">
        <v>76</v>
      </c>
      <c r="X21" s="555">
        <f t="shared" si="0"/>
        <v>43716</v>
      </c>
      <c r="Y21" s="412"/>
      <c r="Z21" s="412"/>
      <c r="AA21" s="412"/>
      <c r="AB21" s="412"/>
      <c r="AC21" s="412"/>
      <c r="AD21" s="412"/>
      <c r="AE21" s="816"/>
      <c r="AF21" s="817"/>
      <c r="AG21" s="818"/>
      <c r="AH21" s="816"/>
      <c r="AI21" s="817"/>
      <c r="AJ21" s="818"/>
      <c r="AK21" s="816"/>
      <c r="AL21" s="817"/>
      <c r="AM21" s="818"/>
    </row>
    <row r="22" spans="1:39" s="234" customFormat="1" ht="16.5" customHeight="1" thickBot="1">
      <c r="A22" s="773"/>
      <c r="B22" s="775"/>
      <c r="C22" s="773"/>
      <c r="D22" s="765"/>
      <c r="E22" s="415">
        <f>S11</f>
      </c>
      <c r="F22" s="142" t="s">
        <v>7</v>
      </c>
      <c r="G22" s="790">
        <f>E12</f>
      </c>
      <c r="H22" s="790"/>
      <c r="I22" s="791"/>
      <c r="J22" s="479"/>
      <c r="K22" s="142" t="s">
        <v>7</v>
      </c>
      <c r="L22" s="480"/>
      <c r="M22" s="481"/>
      <c r="N22" s="142" t="s">
        <v>7</v>
      </c>
      <c r="O22" s="480"/>
      <c r="P22" s="481"/>
      <c r="Q22" s="142" t="s">
        <v>7</v>
      </c>
      <c r="R22" s="482"/>
      <c r="S22" s="666">
        <f>IF(AK18="","",IF(AK18=2,E18,G18))</f>
      </c>
      <c r="T22" s="769"/>
      <c r="U22" s="770"/>
      <c r="V22" s="771"/>
      <c r="W22" s="553" t="s">
        <v>76</v>
      </c>
      <c r="X22" s="556">
        <f t="shared" si="0"/>
        <v>43716</v>
      </c>
      <c r="Y22" s="404">
        <f>IF(L22="","",IF(J22&gt;L22,1,0))</f>
      </c>
      <c r="Z22" s="404">
        <f>IF(O22="","",IF(M22&gt;O22,1,0))</f>
      </c>
      <c r="AA22" s="404">
        <f>IF(R22="","",IF(P22&gt;R22,1,0))</f>
      </c>
      <c r="AB22" s="404">
        <f>IF(Y22="","",IF(Y22=0,1,0))</f>
      </c>
      <c r="AC22" s="404">
        <f>IF(Z22="","",IF(Z22=0,1,0))</f>
      </c>
      <c r="AD22" s="404">
        <f>IF(AA22="","",IF(AA22=0,1,0))</f>
      </c>
      <c r="AE22" s="286">
        <f>IF(O22="","",IF(P22=0,J22+M22,J22+M22+P22))</f>
      </c>
      <c r="AF22" s="287" t="s">
        <v>7</v>
      </c>
      <c r="AG22" s="288">
        <f>IF(O22="","",IF(R22="",L22+O22,L22+O22+R22))</f>
      </c>
      <c r="AH22" s="286">
        <f>IF(Z22="","",IF(AA22="",Y22+Z22,Y22+Z22+AA22))</f>
      </c>
      <c r="AI22" s="287" t="s">
        <v>7</v>
      </c>
      <c r="AJ22" s="288">
        <f>IF(Z22="","",IF(AD22="",AB22+AC22,AB22+AC22+AD22))</f>
      </c>
      <c r="AK22" s="286">
        <f>IF(Z22="","",IF(AH22=2,2,IF(AJ22=2,0,"")))</f>
      </c>
      <c r="AL22" s="287" t="s">
        <v>7</v>
      </c>
      <c r="AM22" s="288">
        <f>IF(AK22="","",IF(AJ22=2,2,0))</f>
      </c>
    </row>
    <row r="23" spans="1:39" s="234" customFormat="1" ht="16.5" customHeight="1">
      <c r="A23" s="786">
        <f>A21</f>
        <v>12</v>
      </c>
      <c r="B23" s="788" t="str">
        <f>B21</f>
        <v>anschl.</v>
      </c>
      <c r="C23" s="772">
        <v>24</v>
      </c>
      <c r="D23" s="764">
        <v>2</v>
      </c>
      <c r="E23" s="414" t="s">
        <v>57</v>
      </c>
      <c r="F23" s="411" t="s">
        <v>7</v>
      </c>
      <c r="G23" s="782" t="s">
        <v>61</v>
      </c>
      <c r="H23" s="782"/>
      <c r="I23" s="783"/>
      <c r="J23" s="776">
        <v>11</v>
      </c>
      <c r="K23" s="777"/>
      <c r="L23" s="777"/>
      <c r="M23" s="777"/>
      <c r="N23" s="777"/>
      <c r="O23" s="777"/>
      <c r="P23" s="777"/>
      <c r="Q23" s="777"/>
      <c r="R23" s="778"/>
      <c r="S23" s="289" t="s">
        <v>65</v>
      </c>
      <c r="T23" s="779"/>
      <c r="U23" s="780"/>
      <c r="V23" s="781"/>
      <c r="W23" s="552" t="s">
        <v>76</v>
      </c>
      <c r="X23" s="555">
        <f t="shared" si="0"/>
        <v>43716</v>
      </c>
      <c r="Y23" s="412"/>
      <c r="Z23" s="412"/>
      <c r="AA23" s="412"/>
      <c r="AB23" s="412"/>
      <c r="AC23" s="412"/>
      <c r="AD23" s="412"/>
      <c r="AE23" s="816"/>
      <c r="AF23" s="817"/>
      <c r="AG23" s="818"/>
      <c r="AH23" s="816"/>
      <c r="AI23" s="817"/>
      <c r="AJ23" s="818"/>
      <c r="AK23" s="816"/>
      <c r="AL23" s="817"/>
      <c r="AM23" s="818"/>
    </row>
    <row r="24" spans="1:39" s="234" customFormat="1" ht="16.5" customHeight="1" thickBot="1">
      <c r="A24" s="787"/>
      <c r="B24" s="789"/>
      <c r="C24" s="773"/>
      <c r="D24" s="765"/>
      <c r="E24" s="415">
        <f>E11</f>
      </c>
      <c r="F24" s="142" t="s">
        <v>7</v>
      </c>
      <c r="G24" s="790">
        <f>S12</f>
      </c>
      <c r="H24" s="790"/>
      <c r="I24" s="791"/>
      <c r="J24" s="479"/>
      <c r="K24" s="142" t="s">
        <v>7</v>
      </c>
      <c r="L24" s="480"/>
      <c r="M24" s="481"/>
      <c r="N24" s="142" t="s">
        <v>7</v>
      </c>
      <c r="O24" s="480"/>
      <c r="P24" s="481"/>
      <c r="Q24" s="142" t="s">
        <v>7</v>
      </c>
      <c r="R24" s="482"/>
      <c r="S24" s="666">
        <f>IF(AK20="","",IF(AK20=2,E20,G20))</f>
      </c>
      <c r="T24" s="769"/>
      <c r="U24" s="770"/>
      <c r="V24" s="771"/>
      <c r="W24" s="553" t="s">
        <v>76</v>
      </c>
      <c r="X24" s="556">
        <f t="shared" si="0"/>
        <v>43716</v>
      </c>
      <c r="Y24" s="404">
        <f>IF(L24="","",IF(J24&gt;L24,1,0))</f>
      </c>
      <c r="Z24" s="404">
        <f>IF(O24="","",IF(M24&gt;O24,1,0))</f>
      </c>
      <c r="AA24" s="404">
        <f>IF(R24="","",IF(P24&gt;R24,1,0))</f>
      </c>
      <c r="AB24" s="404">
        <f>IF(Y24="","",IF(Y24=0,1,0))</f>
      </c>
      <c r="AC24" s="404">
        <f>IF(Z24="","",IF(Z24=0,1,0))</f>
      </c>
      <c r="AD24" s="404">
        <f>IF(AA24="","",IF(AA24=0,1,0))</f>
      </c>
      <c r="AE24" s="286">
        <f>IF(O24="","",IF(P24=0,J24+M24,J24+M24+P24))</f>
      </c>
      <c r="AF24" s="287" t="s">
        <v>7</v>
      </c>
      <c r="AG24" s="288">
        <f>IF(O24="","",IF(R24="",L24+O24,L24+O24+R24))</f>
      </c>
      <c r="AH24" s="286">
        <f>IF(Z24="","",IF(AA24="",Y24+Z24,Y24+Z24+AA24))</f>
      </c>
      <c r="AI24" s="287" t="s">
        <v>7</v>
      </c>
      <c r="AJ24" s="288">
        <f>IF(Z24="","",IF(AD24="",AB24+AC24,AB24+AC24+AD24))</f>
      </c>
      <c r="AK24" s="286">
        <f>IF(Z24="","",IF(AH24=2,2,IF(AJ24=2,0,"")))</f>
      </c>
      <c r="AL24" s="287" t="s">
        <v>7</v>
      </c>
      <c r="AM24" s="288">
        <f>IF(AK24="","",IF(AJ24=2,2,0))</f>
      </c>
    </row>
    <row r="25" spans="1:39" s="234" customFormat="1" ht="16.5" customHeight="1">
      <c r="A25" s="772">
        <v>13</v>
      </c>
      <c r="B25" s="774" t="s">
        <v>354</v>
      </c>
      <c r="C25" s="772">
        <v>25</v>
      </c>
      <c r="D25" s="764">
        <v>1</v>
      </c>
      <c r="E25" s="414" t="s">
        <v>62</v>
      </c>
      <c r="F25" s="411" t="s">
        <v>7</v>
      </c>
      <c r="G25" s="782" t="s">
        <v>63</v>
      </c>
      <c r="H25" s="782"/>
      <c r="I25" s="783"/>
      <c r="J25" s="776" t="s">
        <v>47</v>
      </c>
      <c r="K25" s="777"/>
      <c r="L25" s="777"/>
      <c r="M25" s="777"/>
      <c r="N25" s="777"/>
      <c r="O25" s="777"/>
      <c r="P25" s="777"/>
      <c r="Q25" s="777"/>
      <c r="R25" s="778"/>
      <c r="S25" s="289" t="s">
        <v>69</v>
      </c>
      <c r="T25" s="779"/>
      <c r="U25" s="780"/>
      <c r="V25" s="781"/>
      <c r="W25" s="552" t="s">
        <v>47</v>
      </c>
      <c r="X25" s="555">
        <f t="shared" si="0"/>
        <v>43716</v>
      </c>
      <c r="Y25" s="412"/>
      <c r="Z25" s="412"/>
      <c r="AA25" s="412"/>
      <c r="AB25" s="412"/>
      <c r="AC25" s="412"/>
      <c r="AD25" s="412"/>
      <c r="AE25" s="816"/>
      <c r="AF25" s="817"/>
      <c r="AG25" s="818"/>
      <c r="AH25" s="816"/>
      <c r="AI25" s="817"/>
      <c r="AJ25" s="818"/>
      <c r="AK25" s="816"/>
      <c r="AL25" s="817"/>
      <c r="AM25" s="818"/>
    </row>
    <row r="26" spans="1:39" s="234" customFormat="1" ht="16.5" customHeight="1" thickBot="1">
      <c r="A26" s="773"/>
      <c r="B26" s="775"/>
      <c r="C26" s="773"/>
      <c r="D26" s="765"/>
      <c r="E26" s="415">
        <f>IF(AK18="","",IF(AK18=2,G18,E18))</f>
      </c>
      <c r="F26" s="142" t="s">
        <v>7</v>
      </c>
      <c r="G26" s="790">
        <f>IF(AK20="","",IF(AK20=2,G20,E20))</f>
      </c>
      <c r="H26" s="790"/>
      <c r="I26" s="791"/>
      <c r="J26" s="479"/>
      <c r="K26" s="142" t="s">
        <v>7</v>
      </c>
      <c r="L26" s="480"/>
      <c r="M26" s="481"/>
      <c r="N26" s="142" t="s">
        <v>7</v>
      </c>
      <c r="O26" s="480"/>
      <c r="P26" s="481"/>
      <c r="Q26" s="142" t="s">
        <v>7</v>
      </c>
      <c r="R26" s="482"/>
      <c r="S26" s="666">
        <f>IF(AK22="","",IF(AK22=2,G22,E22))</f>
      </c>
      <c r="T26" s="769"/>
      <c r="U26" s="770"/>
      <c r="V26" s="771"/>
      <c r="W26" s="553" t="s">
        <v>47</v>
      </c>
      <c r="X26" s="556">
        <f t="shared" si="0"/>
        <v>43716</v>
      </c>
      <c r="Y26" s="404">
        <f>IF(L26="","",IF(J26&gt;L26,1,0))</f>
      </c>
      <c r="Z26" s="404">
        <f>IF(O26="","",IF(M26&gt;O26,1,0))</f>
      </c>
      <c r="AA26" s="404">
        <f>IF(R26="","",IF(P26&gt;R26,1,0))</f>
      </c>
      <c r="AB26" s="404">
        <f>IF(Y26="","",IF(Y26=0,1,0))</f>
      </c>
      <c r="AC26" s="404">
        <f>IF(Z26="","",IF(Z26=0,1,0))</f>
      </c>
      <c r="AD26" s="404">
        <f>IF(AA26="","",IF(AA26=0,1,0))</f>
      </c>
      <c r="AE26" s="286">
        <f>IF(O26="","",IF(P26=0,J26+M26,J26+M26+P26))</f>
      </c>
      <c r="AF26" s="287" t="s">
        <v>7</v>
      </c>
      <c r="AG26" s="288">
        <f>IF(O26="","",IF(R26="",L26+O26,L26+O26+R26))</f>
      </c>
      <c r="AH26" s="286">
        <f>IF(Z26="","",IF(AA26="",Y26+Z26,Y26+Z26+AA26))</f>
      </c>
      <c r="AI26" s="287" t="s">
        <v>7</v>
      </c>
      <c r="AJ26" s="288">
        <f>IF(Z26="","",IF(AD26="",AB26+AC26,AB26+AC26+AD26))</f>
      </c>
      <c r="AK26" s="286">
        <f>IF(Z26="","",IF(AH26=2,2,IF(AJ26=2,0,"")))</f>
      </c>
      <c r="AL26" s="287" t="s">
        <v>7</v>
      </c>
      <c r="AM26" s="288">
        <f>IF(AK26="","",IF(AJ26=2,2,0))</f>
      </c>
    </row>
    <row r="27" spans="1:39" s="234" customFormat="1" ht="16.5" customHeight="1">
      <c r="A27" s="786">
        <f>A25</f>
        <v>13</v>
      </c>
      <c r="B27" s="788" t="str">
        <f>B25</f>
        <v>anschl.</v>
      </c>
      <c r="C27" s="772">
        <v>26</v>
      </c>
      <c r="D27" s="764">
        <v>2</v>
      </c>
      <c r="E27" s="414" t="s">
        <v>64</v>
      </c>
      <c r="F27" s="411" t="s">
        <v>7</v>
      </c>
      <c r="G27" s="782" t="s">
        <v>65</v>
      </c>
      <c r="H27" s="782"/>
      <c r="I27" s="783"/>
      <c r="J27" s="776" t="s">
        <v>48</v>
      </c>
      <c r="K27" s="777"/>
      <c r="L27" s="777"/>
      <c r="M27" s="777"/>
      <c r="N27" s="777"/>
      <c r="O27" s="777"/>
      <c r="P27" s="777"/>
      <c r="Q27" s="777"/>
      <c r="R27" s="778"/>
      <c r="S27" s="289" t="s">
        <v>70</v>
      </c>
      <c r="T27" s="779"/>
      <c r="U27" s="780"/>
      <c r="V27" s="781"/>
      <c r="W27" s="552" t="s">
        <v>48</v>
      </c>
      <c r="X27" s="555">
        <f t="shared" si="0"/>
        <v>43716</v>
      </c>
      <c r="Y27" s="412"/>
      <c r="Z27" s="412"/>
      <c r="AA27" s="412"/>
      <c r="AB27" s="412"/>
      <c r="AC27" s="412"/>
      <c r="AD27" s="412"/>
      <c r="AE27" s="816"/>
      <c r="AF27" s="817"/>
      <c r="AG27" s="818"/>
      <c r="AH27" s="816"/>
      <c r="AI27" s="817"/>
      <c r="AJ27" s="818"/>
      <c r="AK27" s="816"/>
      <c r="AL27" s="817"/>
      <c r="AM27" s="818"/>
    </row>
    <row r="28" spans="1:39" s="234" customFormat="1" ht="16.5" customHeight="1" thickBot="1">
      <c r="A28" s="787"/>
      <c r="B28" s="789"/>
      <c r="C28" s="773"/>
      <c r="D28" s="765"/>
      <c r="E28" s="415">
        <f>IF(AK18="","",IF(AK18=2,E18,G18))</f>
      </c>
      <c r="F28" s="142" t="s">
        <v>7</v>
      </c>
      <c r="G28" s="790">
        <f>IF(AK20="","",IF(AK20=2,E20,G20))</f>
      </c>
      <c r="H28" s="790"/>
      <c r="I28" s="791"/>
      <c r="J28" s="479"/>
      <c r="K28" s="142" t="s">
        <v>7</v>
      </c>
      <c r="L28" s="480"/>
      <c r="M28" s="481"/>
      <c r="N28" s="142" t="s">
        <v>7</v>
      </c>
      <c r="O28" s="480"/>
      <c r="P28" s="481"/>
      <c r="Q28" s="142" t="s">
        <v>7</v>
      </c>
      <c r="R28" s="482"/>
      <c r="S28" s="666">
        <f>IF(AK24="","",IF(AK24=2,G24,E24))</f>
      </c>
      <c r="T28" s="769"/>
      <c r="U28" s="770"/>
      <c r="V28" s="771"/>
      <c r="W28" s="553" t="s">
        <v>48</v>
      </c>
      <c r="X28" s="556">
        <f t="shared" si="0"/>
        <v>43716</v>
      </c>
      <c r="Y28" s="404">
        <f>IF(L28="","",IF(J28&gt;L28,1,0))</f>
      </c>
      <c r="Z28" s="404">
        <f>IF(O28="","",IF(M28&gt;O28,1,0))</f>
      </c>
      <c r="AA28" s="404">
        <f>IF(R28="","",IF(P28&gt;R28,1,0))</f>
      </c>
      <c r="AB28" s="404">
        <f>IF(Y28="","",IF(Y28=0,1,0))</f>
      </c>
      <c r="AC28" s="404">
        <f>IF(Z28="","",IF(Z28=0,1,0))</f>
      </c>
      <c r="AD28" s="404">
        <f>IF(AA28="","",IF(AA28=0,1,0))</f>
      </c>
      <c r="AE28" s="286">
        <f>IF(O28="","",IF(P28=0,J28+M28,J28+M28+P28))</f>
      </c>
      <c r="AF28" s="287" t="s">
        <v>7</v>
      </c>
      <c r="AG28" s="288">
        <f>IF(O28="","",IF(R28="",L28+O28,L28+O28+R28))</f>
      </c>
      <c r="AH28" s="286">
        <f>IF(Z28="","",IF(AA28="",Y28+Z28,Y28+Z28+AA28))</f>
      </c>
      <c r="AI28" s="287" t="s">
        <v>7</v>
      </c>
      <c r="AJ28" s="288">
        <f>IF(Z28="","",IF(AD28="",AB28+AC28,AB28+AC28+AD28))</f>
      </c>
      <c r="AK28" s="286">
        <f>IF(Z28="","",IF(AH28=2,2,IF(AJ28=2,0,"")))</f>
      </c>
      <c r="AL28" s="287" t="s">
        <v>7</v>
      </c>
      <c r="AM28" s="288">
        <f>IF(AK28="","",IF(AJ28=2,2,0))</f>
      </c>
    </row>
    <row r="29" spans="1:39" s="234" customFormat="1" ht="16.5" customHeight="1" thickBot="1">
      <c r="A29" s="652"/>
      <c r="B29" s="653"/>
      <c r="C29" s="544"/>
      <c r="D29" s="654"/>
      <c r="E29" s="651"/>
      <c r="F29" s="446"/>
      <c r="G29" s="500"/>
      <c r="H29" s="500"/>
      <c r="I29" s="500"/>
      <c r="J29" s="656"/>
      <c r="K29" s="446"/>
      <c r="L29" s="656" t="s">
        <v>355</v>
      </c>
      <c r="M29" s="656"/>
      <c r="N29" s="446"/>
      <c r="O29" s="656"/>
      <c r="P29" s="656"/>
      <c r="Q29" s="446"/>
      <c r="R29" s="656"/>
      <c r="S29" s="500"/>
      <c r="T29" s="663"/>
      <c r="U29" s="664"/>
      <c r="V29" s="665"/>
      <c r="W29" s="455"/>
      <c r="X29" s="655"/>
      <c r="Y29" s="468"/>
      <c r="Z29" s="468"/>
      <c r="AA29" s="468"/>
      <c r="AB29" s="468"/>
      <c r="AC29" s="468"/>
      <c r="AD29" s="468"/>
      <c r="AE29" s="546"/>
      <c r="AF29" s="547"/>
      <c r="AG29" s="548"/>
      <c r="AH29" s="546"/>
      <c r="AI29" s="547"/>
      <c r="AJ29" s="548"/>
      <c r="AK29" s="546"/>
      <c r="AL29" s="547"/>
      <c r="AM29" s="548"/>
    </row>
    <row r="30" spans="1:39" s="234" customFormat="1" ht="16.5" customHeight="1">
      <c r="A30" s="772">
        <v>14</v>
      </c>
      <c r="B30" s="774" t="s">
        <v>354</v>
      </c>
      <c r="C30" s="772">
        <v>27</v>
      </c>
      <c r="D30" s="764">
        <v>1</v>
      </c>
      <c r="E30" s="414" t="s">
        <v>66</v>
      </c>
      <c r="F30" s="411" t="s">
        <v>7</v>
      </c>
      <c r="G30" s="782" t="s">
        <v>50</v>
      </c>
      <c r="H30" s="782"/>
      <c r="I30" s="783"/>
      <c r="J30" s="776" t="s">
        <v>49</v>
      </c>
      <c r="K30" s="777"/>
      <c r="L30" s="777"/>
      <c r="M30" s="777"/>
      <c r="N30" s="777"/>
      <c r="O30" s="777"/>
      <c r="P30" s="777"/>
      <c r="Q30" s="777"/>
      <c r="R30" s="778"/>
      <c r="S30" s="289" t="s">
        <v>313</v>
      </c>
      <c r="T30" s="779"/>
      <c r="U30" s="780"/>
      <c r="V30" s="781"/>
      <c r="W30" s="552" t="s">
        <v>49</v>
      </c>
      <c r="X30" s="555">
        <f t="shared" si="0"/>
        <v>43716</v>
      </c>
      <c r="Y30" s="412"/>
      <c r="Z30" s="412"/>
      <c r="AA30" s="412"/>
      <c r="AB30" s="412"/>
      <c r="AC30" s="412"/>
      <c r="AD30" s="412"/>
      <c r="AE30" s="816"/>
      <c r="AF30" s="817"/>
      <c r="AG30" s="818"/>
      <c r="AH30" s="816"/>
      <c r="AI30" s="817"/>
      <c r="AJ30" s="818"/>
      <c r="AK30" s="816"/>
      <c r="AL30" s="817"/>
      <c r="AM30" s="818"/>
    </row>
    <row r="31" spans="1:39" s="234" customFormat="1" ht="16.5" customHeight="1" thickBot="1">
      <c r="A31" s="773"/>
      <c r="B31" s="775"/>
      <c r="C31" s="773"/>
      <c r="D31" s="765"/>
      <c r="E31" s="415">
        <f>E10</f>
      </c>
      <c r="F31" s="142" t="s">
        <v>7</v>
      </c>
      <c r="G31" s="790">
        <f>IF(AK22="","",IF(AK22=2,E22,G22))</f>
      </c>
      <c r="H31" s="790"/>
      <c r="I31" s="791"/>
      <c r="J31" s="479"/>
      <c r="K31" s="142" t="s">
        <v>7</v>
      </c>
      <c r="L31" s="480"/>
      <c r="M31" s="481"/>
      <c r="N31" s="142" t="s">
        <v>7</v>
      </c>
      <c r="O31" s="480"/>
      <c r="P31" s="481"/>
      <c r="Q31" s="142" t="s">
        <v>7</v>
      </c>
      <c r="R31" s="482"/>
      <c r="S31" s="666"/>
      <c r="T31" s="769"/>
      <c r="U31" s="770"/>
      <c r="V31" s="771"/>
      <c r="W31" s="553" t="s">
        <v>49</v>
      </c>
      <c r="X31" s="556">
        <f t="shared" si="0"/>
        <v>43716</v>
      </c>
      <c r="Y31" s="404">
        <f>IF(L31="","",IF(J31&gt;L31,1,0))</f>
      </c>
      <c r="Z31" s="404">
        <f>IF(O31="","",IF(M31&gt;O31,1,0))</f>
      </c>
      <c r="AA31" s="404">
        <f>IF(R31="","",IF(P31&gt;R31,1,0))</f>
      </c>
      <c r="AB31" s="404">
        <f>IF(Y31="","",IF(Y31=0,1,0))</f>
      </c>
      <c r="AC31" s="404">
        <f>IF(Z31="","",IF(Z31=0,1,0))</f>
      </c>
      <c r="AD31" s="404">
        <f>IF(AA31="","",IF(AA31=0,1,0))</f>
      </c>
      <c r="AE31" s="286">
        <f>IF(O31="","",IF(P31=0,J31+M31,J31+M31+P31))</f>
      </c>
      <c r="AF31" s="287" t="s">
        <v>7</v>
      </c>
      <c r="AG31" s="288">
        <f>IF(O31="","",IF(R31="",L31+O31,L31+O31+R31))</f>
      </c>
      <c r="AH31" s="286">
        <f>IF(Z31="","",IF(AA31="",Y31+Z31,Y31+Z31+AA31))</f>
      </c>
      <c r="AI31" s="287" t="s">
        <v>7</v>
      </c>
      <c r="AJ31" s="288">
        <f>IF(Z31="","",IF(AD31="",AB31+AC31,AB31+AC31+AD31))</f>
      </c>
      <c r="AK31" s="286">
        <f>IF(Z31="","",IF(AH31=2,2,IF(AJ31=2,0,"")))</f>
      </c>
      <c r="AL31" s="287" t="s">
        <v>7</v>
      </c>
      <c r="AM31" s="288">
        <f>IF(AK31="","",IF(AJ31=2,2,0))</f>
      </c>
    </row>
    <row r="32" spans="1:39" s="234" customFormat="1" ht="16.5" customHeight="1">
      <c r="A32" s="772"/>
      <c r="B32" s="774"/>
      <c r="C32" s="772">
        <v>28</v>
      </c>
      <c r="D32" s="764">
        <v>2</v>
      </c>
      <c r="E32" s="414" t="s">
        <v>67</v>
      </c>
      <c r="F32" s="411" t="s">
        <v>7</v>
      </c>
      <c r="G32" s="782" t="s">
        <v>68</v>
      </c>
      <c r="H32" s="782"/>
      <c r="I32" s="783"/>
      <c r="J32" s="776" t="s">
        <v>49</v>
      </c>
      <c r="K32" s="777"/>
      <c r="L32" s="777"/>
      <c r="M32" s="777"/>
      <c r="N32" s="777"/>
      <c r="O32" s="777"/>
      <c r="P32" s="777"/>
      <c r="Q32" s="777"/>
      <c r="R32" s="778"/>
      <c r="S32" s="289" t="s">
        <v>313</v>
      </c>
      <c r="T32" s="779"/>
      <c r="U32" s="780"/>
      <c r="V32" s="781"/>
      <c r="W32" s="552" t="s">
        <v>49</v>
      </c>
      <c r="X32" s="555">
        <f t="shared" si="0"/>
        <v>43716</v>
      </c>
      <c r="Y32" s="412"/>
      <c r="Z32" s="412"/>
      <c r="AA32" s="412"/>
      <c r="AB32" s="412"/>
      <c r="AC32" s="412"/>
      <c r="AD32" s="412"/>
      <c r="AE32" s="816"/>
      <c r="AF32" s="817"/>
      <c r="AG32" s="818"/>
      <c r="AH32" s="816"/>
      <c r="AI32" s="817"/>
      <c r="AJ32" s="818"/>
      <c r="AK32" s="816"/>
      <c r="AL32" s="817"/>
      <c r="AM32" s="818"/>
    </row>
    <row r="33" spans="1:39" s="234" customFormat="1" ht="16.5" customHeight="1" thickBot="1">
      <c r="A33" s="773"/>
      <c r="B33" s="775"/>
      <c r="C33" s="773"/>
      <c r="D33" s="765"/>
      <c r="E33" s="415">
        <f>S10</f>
      </c>
      <c r="F33" s="142" t="s">
        <v>7</v>
      </c>
      <c r="G33" s="790">
        <f>IF(AK24="","",IF(AK24=2,E24,G24))</f>
      </c>
      <c r="H33" s="790"/>
      <c r="I33" s="791"/>
      <c r="J33" s="479"/>
      <c r="K33" s="142" t="s">
        <v>7</v>
      </c>
      <c r="L33" s="480"/>
      <c r="M33" s="481"/>
      <c r="N33" s="142" t="s">
        <v>7</v>
      </c>
      <c r="O33" s="480"/>
      <c r="P33" s="481"/>
      <c r="Q33" s="142" t="s">
        <v>7</v>
      </c>
      <c r="R33" s="482"/>
      <c r="S33" s="666"/>
      <c r="T33" s="769"/>
      <c r="U33" s="770"/>
      <c r="V33" s="771"/>
      <c r="W33" s="553" t="s">
        <v>49</v>
      </c>
      <c r="X33" s="556">
        <f t="shared" si="0"/>
        <v>43716</v>
      </c>
      <c r="Y33" s="404">
        <f>IF(L33="","",IF(J33&gt;L33,1,0))</f>
      </c>
      <c r="Z33" s="404">
        <f>IF(O33="","",IF(M33&gt;O33,1,0))</f>
      </c>
      <c r="AA33" s="404">
        <f>IF(R33="","",IF(P33&gt;R33,1,0))</f>
      </c>
      <c r="AB33" s="404">
        <f>IF(Y33="","",IF(Y33=0,1,0))</f>
      </c>
      <c r="AC33" s="404">
        <f>IF(Z33="","",IF(Z33=0,1,0))</f>
      </c>
      <c r="AD33" s="404">
        <f>IF(AA33="","",IF(AA33=0,1,0))</f>
      </c>
      <c r="AE33" s="286">
        <f>IF(O33="","",IF(P33=0,J33+M33,J33+M33+P33))</f>
      </c>
      <c r="AF33" s="287" t="s">
        <v>7</v>
      </c>
      <c r="AG33" s="288">
        <f>IF(O33="","",IF(R33="",L33+O33,L33+O33+R33))</f>
      </c>
      <c r="AH33" s="286">
        <f>IF(Z33="","",IF(AA33="",Y33+Z33,Y33+Z33+AA33))</f>
      </c>
      <c r="AI33" s="287" t="s">
        <v>7</v>
      </c>
      <c r="AJ33" s="288">
        <f>IF(Z33="","",IF(AD33="",AB33+AC33,AB33+AC33+AD33))</f>
      </c>
      <c r="AK33" s="286">
        <f>IF(Z33="","",IF(AH33=2,2,IF(AJ33=2,0,"")))</f>
      </c>
      <c r="AL33" s="287" t="s">
        <v>7</v>
      </c>
      <c r="AM33" s="288">
        <f>IF(AK33="","",IF(AJ33=2,2,0))</f>
      </c>
    </row>
    <row r="34" spans="1:39" s="234" customFormat="1" ht="16.5" customHeight="1">
      <c r="A34" s="784">
        <v>15</v>
      </c>
      <c r="B34" s="793" t="s">
        <v>354</v>
      </c>
      <c r="C34" s="784">
        <v>29</v>
      </c>
      <c r="D34" s="785">
        <v>1</v>
      </c>
      <c r="E34" s="533" t="s">
        <v>69</v>
      </c>
      <c r="F34" s="534" t="s">
        <v>7</v>
      </c>
      <c r="G34" s="796" t="s">
        <v>70</v>
      </c>
      <c r="H34" s="796"/>
      <c r="I34" s="797"/>
      <c r="J34" s="801" t="s">
        <v>51</v>
      </c>
      <c r="K34" s="802"/>
      <c r="L34" s="802"/>
      <c r="M34" s="802"/>
      <c r="N34" s="802"/>
      <c r="O34" s="802"/>
      <c r="P34" s="802"/>
      <c r="Q34" s="802"/>
      <c r="R34" s="803"/>
      <c r="S34" s="535" t="s">
        <v>313</v>
      </c>
      <c r="T34" s="798"/>
      <c r="U34" s="799"/>
      <c r="V34" s="800"/>
      <c r="W34" s="554" t="s">
        <v>51</v>
      </c>
      <c r="X34" s="555">
        <f t="shared" si="0"/>
        <v>43716</v>
      </c>
      <c r="Y34" s="536"/>
      <c r="Z34" s="536"/>
      <c r="AA34" s="536"/>
      <c r="AB34" s="536"/>
      <c r="AC34" s="536"/>
      <c r="AD34" s="536"/>
      <c r="AE34" s="819"/>
      <c r="AF34" s="820"/>
      <c r="AG34" s="821"/>
      <c r="AH34" s="819"/>
      <c r="AI34" s="820"/>
      <c r="AJ34" s="821"/>
      <c r="AK34" s="819"/>
      <c r="AL34" s="820"/>
      <c r="AM34" s="821"/>
    </row>
    <row r="35" spans="1:39" s="234" customFormat="1" ht="16.5" customHeight="1" thickBot="1">
      <c r="A35" s="773"/>
      <c r="B35" s="775"/>
      <c r="C35" s="773"/>
      <c r="D35" s="765"/>
      <c r="E35" s="415">
        <f>IF(AK22="","",IF(AK22=2,G22,E22))</f>
      </c>
      <c r="F35" s="142" t="s">
        <v>7</v>
      </c>
      <c r="G35" s="790">
        <f>IF(AK24="","",IF(AK24=2,G24,E24))</f>
      </c>
      <c r="H35" s="790"/>
      <c r="I35" s="791"/>
      <c r="J35" s="479"/>
      <c r="K35" s="142" t="s">
        <v>7</v>
      </c>
      <c r="L35" s="480"/>
      <c r="M35" s="481"/>
      <c r="N35" s="142" t="s">
        <v>7</v>
      </c>
      <c r="O35" s="480"/>
      <c r="P35" s="481"/>
      <c r="Q35" s="142" t="s">
        <v>7</v>
      </c>
      <c r="R35" s="482"/>
      <c r="S35" s="666"/>
      <c r="T35" s="769"/>
      <c r="U35" s="770"/>
      <c r="V35" s="771"/>
      <c r="W35" s="553" t="s">
        <v>51</v>
      </c>
      <c r="X35" s="556">
        <f t="shared" si="0"/>
        <v>43716</v>
      </c>
      <c r="Y35" s="404">
        <f>IF(L35="","",IF(J35&gt;L35,1,0))</f>
      </c>
      <c r="Z35" s="404">
        <f>IF(O35="","",IF(M35&gt;O35,1,0))</f>
      </c>
      <c r="AA35" s="404">
        <f>IF(R35="","",IF(P35&gt;R35,1,0))</f>
      </c>
      <c r="AB35" s="404">
        <f>IF(Y35="","",IF(Y35=0,1,0))</f>
      </c>
      <c r="AC35" s="404">
        <f>IF(Z35="","",IF(Z35=0,1,0))</f>
      </c>
      <c r="AD35" s="404">
        <f>IF(AA35="","",IF(AA35=0,1,0))</f>
      </c>
      <c r="AE35" s="286">
        <f>IF(O35="","",IF(P35=0,J35+M35,J35+M35+P35))</f>
      </c>
      <c r="AF35" s="287" t="s">
        <v>7</v>
      </c>
      <c r="AG35" s="288">
        <f>IF(O35="","",IF(R35="",L35+O35,L35+O35+R35))</f>
      </c>
      <c r="AH35" s="286">
        <f>IF(Z35="","",IF(AA35="",Y35+Z35,Y35+Z35+AA35))</f>
      </c>
      <c r="AI35" s="287" t="s">
        <v>7</v>
      </c>
      <c r="AJ35" s="288">
        <f>IF(Z35="","",IF(AD35="",AB35+AC35,AB35+AC35+AD35))</f>
      </c>
      <c r="AK35" s="286">
        <f>IF(Z35="","",IF(AH35=2,2,IF(AJ35=2,0,"")))</f>
      </c>
      <c r="AL35" s="287" t="s">
        <v>7</v>
      </c>
      <c r="AM35" s="288">
        <f>IF(AK35="","",IF(AJ35=2,2,0))</f>
      </c>
    </row>
    <row r="36" spans="1:39" s="234" customFormat="1" ht="16.5" customHeight="1">
      <c r="A36" s="772">
        <v>16</v>
      </c>
      <c r="B36" s="774" t="s">
        <v>354</v>
      </c>
      <c r="C36" s="772">
        <v>30</v>
      </c>
      <c r="D36" s="764">
        <v>2</v>
      </c>
      <c r="E36" s="414" t="s">
        <v>71</v>
      </c>
      <c r="F36" s="411" t="s">
        <v>7</v>
      </c>
      <c r="G36" s="782" t="s">
        <v>72</v>
      </c>
      <c r="H36" s="782"/>
      <c r="I36" s="783"/>
      <c r="J36" s="776" t="s">
        <v>52</v>
      </c>
      <c r="K36" s="777"/>
      <c r="L36" s="777"/>
      <c r="M36" s="777"/>
      <c r="N36" s="777"/>
      <c r="O36" s="777"/>
      <c r="P36" s="777"/>
      <c r="Q36" s="777"/>
      <c r="R36" s="778"/>
      <c r="S36" s="289" t="s">
        <v>313</v>
      </c>
      <c r="T36" s="779"/>
      <c r="U36" s="780"/>
      <c r="V36" s="781"/>
      <c r="W36" s="552" t="s">
        <v>52</v>
      </c>
      <c r="X36" s="555">
        <f t="shared" si="0"/>
        <v>43716</v>
      </c>
      <c r="Y36" s="412"/>
      <c r="Z36" s="412"/>
      <c r="AA36" s="412"/>
      <c r="AB36" s="412"/>
      <c r="AC36" s="412"/>
      <c r="AD36" s="412"/>
      <c r="AE36" s="816"/>
      <c r="AF36" s="817"/>
      <c r="AG36" s="818"/>
      <c r="AH36" s="816"/>
      <c r="AI36" s="817"/>
      <c r="AJ36" s="818"/>
      <c r="AK36" s="816"/>
      <c r="AL36" s="817"/>
      <c r="AM36" s="818"/>
    </row>
    <row r="37" spans="1:39" s="234" customFormat="1" ht="16.5" customHeight="1" thickBot="1">
      <c r="A37" s="773"/>
      <c r="B37" s="775"/>
      <c r="C37" s="773"/>
      <c r="D37" s="765"/>
      <c r="E37" s="415">
        <f>IF(AK31="","",IF(AK31=2,G31,E31))</f>
      </c>
      <c r="F37" s="142" t="s">
        <v>7</v>
      </c>
      <c r="G37" s="790">
        <f>IF(AK33="","",IF(AK33=2,G33,E33))</f>
      </c>
      <c r="H37" s="790"/>
      <c r="I37" s="791"/>
      <c r="J37" s="479"/>
      <c r="K37" s="142" t="s">
        <v>7</v>
      </c>
      <c r="L37" s="480"/>
      <c r="M37" s="481"/>
      <c r="N37" s="142" t="s">
        <v>7</v>
      </c>
      <c r="O37" s="480"/>
      <c r="P37" s="481"/>
      <c r="Q37" s="142" t="s">
        <v>7</v>
      </c>
      <c r="R37" s="482"/>
      <c r="S37" s="666"/>
      <c r="T37" s="769"/>
      <c r="U37" s="770"/>
      <c r="V37" s="771"/>
      <c r="W37" s="553" t="s">
        <v>52</v>
      </c>
      <c r="X37" s="556">
        <f t="shared" si="0"/>
        <v>43716</v>
      </c>
      <c r="Y37" s="404">
        <f>IF(L37="","",IF(J37&gt;L37,1,0))</f>
      </c>
      <c r="Z37" s="404">
        <f>IF(O37="","",IF(M37&gt;O37,1,0))</f>
      </c>
      <c r="AA37" s="404">
        <f>IF(R37="","",IF(P37&gt;R37,1,0))</f>
      </c>
      <c r="AB37" s="404">
        <f>IF(Y37="","",IF(Y37=0,1,0))</f>
      </c>
      <c r="AC37" s="404">
        <f>IF(Z37="","",IF(Z37=0,1,0))</f>
      </c>
      <c r="AD37" s="404">
        <f>IF(AA37="","",IF(AA37=0,1,0))</f>
      </c>
      <c r="AE37" s="286">
        <f>IF(O37="","",IF(P37=0,J37+M37,J37+M37+P37))</f>
      </c>
      <c r="AF37" s="287" t="s">
        <v>7</v>
      </c>
      <c r="AG37" s="288">
        <f>IF(O37="","",IF(R37="",L37+O37,L37+O37+R37))</f>
      </c>
      <c r="AH37" s="286">
        <f>IF(Z37="","",IF(AA37="",Y37+Z37,Y37+Z37+AA37))</f>
      </c>
      <c r="AI37" s="287" t="s">
        <v>7</v>
      </c>
      <c r="AJ37" s="288">
        <f>IF(Z37="","",IF(AD37="",AB37+AC37,AB37+AC37+AD37))</f>
      </c>
      <c r="AK37" s="286">
        <f>IF(Z37="","",IF(AH37=2,2,IF(AJ37=2,0,"")))</f>
      </c>
      <c r="AL37" s="287" t="s">
        <v>7</v>
      </c>
      <c r="AM37" s="288">
        <f>IF(AK37="","",IF(AJ37=2,2,0))</f>
      </c>
    </row>
    <row r="38" spans="1:39" s="234" customFormat="1" ht="16.5" customHeight="1">
      <c r="A38" s="772">
        <v>17</v>
      </c>
      <c r="B38" s="774" t="s">
        <v>354</v>
      </c>
      <c r="C38" s="772">
        <v>31</v>
      </c>
      <c r="D38" s="764">
        <v>1</v>
      </c>
      <c r="E38" s="414" t="s">
        <v>73</v>
      </c>
      <c r="F38" s="411" t="s">
        <v>7</v>
      </c>
      <c r="G38" s="782" t="s">
        <v>74</v>
      </c>
      <c r="H38" s="782"/>
      <c r="I38" s="783"/>
      <c r="J38" s="776" t="s">
        <v>53</v>
      </c>
      <c r="K38" s="777"/>
      <c r="L38" s="777"/>
      <c r="M38" s="777"/>
      <c r="N38" s="777"/>
      <c r="O38" s="777"/>
      <c r="P38" s="777"/>
      <c r="Q38" s="777"/>
      <c r="R38" s="778"/>
      <c r="S38" s="289" t="s">
        <v>77</v>
      </c>
      <c r="T38" s="779"/>
      <c r="U38" s="780"/>
      <c r="V38" s="781"/>
      <c r="W38" s="552" t="s">
        <v>115</v>
      </c>
      <c r="X38" s="555">
        <f t="shared" si="0"/>
        <v>43716</v>
      </c>
      <c r="Y38" s="412"/>
      <c r="Z38" s="412"/>
      <c r="AA38" s="412"/>
      <c r="AB38" s="412"/>
      <c r="AC38" s="412"/>
      <c r="AD38" s="412"/>
      <c r="AE38" s="816"/>
      <c r="AF38" s="817"/>
      <c r="AG38" s="818"/>
      <c r="AH38" s="816"/>
      <c r="AI38" s="817"/>
      <c r="AJ38" s="818"/>
      <c r="AK38" s="816"/>
      <c r="AL38" s="817"/>
      <c r="AM38" s="818"/>
    </row>
    <row r="39" spans="1:39" s="234" customFormat="1" ht="16.5" customHeight="1" thickBot="1">
      <c r="A39" s="773"/>
      <c r="B39" s="775"/>
      <c r="C39" s="773"/>
      <c r="D39" s="765"/>
      <c r="E39" s="415">
        <f>IF(AK31="","",IF(AK31=2,E31,G31))</f>
      </c>
      <c r="F39" s="142" t="s">
        <v>7</v>
      </c>
      <c r="G39" s="790">
        <f>IF(AK33="","",IF(AK33=2,E33,G33))</f>
      </c>
      <c r="H39" s="790"/>
      <c r="I39" s="791"/>
      <c r="J39" s="479"/>
      <c r="K39" s="142" t="s">
        <v>7</v>
      </c>
      <c r="L39" s="480"/>
      <c r="M39" s="481"/>
      <c r="N39" s="142" t="s">
        <v>7</v>
      </c>
      <c r="O39" s="480"/>
      <c r="P39" s="481"/>
      <c r="Q39" s="142" t="s">
        <v>7</v>
      </c>
      <c r="R39" s="482"/>
      <c r="S39" s="562"/>
      <c r="T39" s="769"/>
      <c r="U39" s="770"/>
      <c r="V39" s="771"/>
      <c r="W39" s="553" t="s">
        <v>115</v>
      </c>
      <c r="X39" s="556">
        <f t="shared" si="0"/>
        <v>43716</v>
      </c>
      <c r="Y39" s="404">
        <f>IF(L39="","",IF(J39&gt;L39,1,0))</f>
      </c>
      <c r="Z39" s="404">
        <f>IF(O39="","",IF(M39&gt;O39,1,0))</f>
      </c>
      <c r="AA39" s="404">
        <f>IF(R39="","",IF(P39&gt;R39,1,0))</f>
      </c>
      <c r="AB39" s="404">
        <f>IF(Y39="","",IF(Y39=0,1,0))</f>
      </c>
      <c r="AC39" s="404">
        <f>IF(Z39="","",IF(Z39=0,1,0))</f>
      </c>
      <c r="AD39" s="404">
        <f>IF(AA39="","",IF(AA39=0,1,0))</f>
      </c>
      <c r="AE39" s="286">
        <f>IF(O39="","",IF(P39=0,J39+M39,J39+M39+P39))</f>
      </c>
      <c r="AF39" s="287" t="s">
        <v>7</v>
      </c>
      <c r="AG39" s="288">
        <f>IF(O39="","",IF(R39="",L39+O39,L39+O39+R39))</f>
      </c>
      <c r="AH39" s="286">
        <f>IF(Z39="","",IF(AA39="",Y39+Z39,Y39+Z39+AA39))</f>
      </c>
      <c r="AI39" s="287" t="s">
        <v>7</v>
      </c>
      <c r="AJ39" s="288">
        <f>IF(Z39="","",IF(AD39="",AB39+AC39,AB39+AC39+AD39))</f>
      </c>
      <c r="AK39" s="286">
        <f>IF(Z39="","",IF(AH39=2,2,IF(AJ39=2,0,"")))</f>
      </c>
      <c r="AL39" s="287" t="s">
        <v>7</v>
      </c>
      <c r="AM39" s="288">
        <f>IF(AK39="","",IF(AJ39=2,2,0))</f>
      </c>
    </row>
    <row r="40" spans="25:39" ht="12.75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5:39" ht="12.75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5:39" ht="12.75"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5:39" ht="12.75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5:39" ht="12.75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5:39" ht="12.75"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5:39" ht="12.75"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5:39" ht="12.75"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5:39" ht="12.75"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5:39" ht="12.75"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5:39" ht="12.75"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5:39" ht="12.75"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5:39" ht="12.75"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5:39" ht="12.75"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5:39" ht="12.75"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5:39" ht="12.75"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5:39" ht="12.75"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</sheetData>
  <sheetProtection selectLockedCells="1"/>
  <mergeCells count="165">
    <mergeCell ref="AE38:AG38"/>
    <mergeCell ref="AH38:AJ38"/>
    <mergeCell ref="AK38:AM38"/>
    <mergeCell ref="AE34:AG34"/>
    <mergeCell ref="AH34:AJ34"/>
    <mergeCell ref="AK34:AM34"/>
    <mergeCell ref="AE36:AG36"/>
    <mergeCell ref="AH36:AJ36"/>
    <mergeCell ref="AE27:AG27"/>
    <mergeCell ref="AH27:AJ27"/>
    <mergeCell ref="AK36:AM36"/>
    <mergeCell ref="AK27:AM27"/>
    <mergeCell ref="AE30:AG30"/>
    <mergeCell ref="AH30:AJ30"/>
    <mergeCell ref="AK30:AM30"/>
    <mergeCell ref="AE32:AG32"/>
    <mergeCell ref="AH32:AJ32"/>
    <mergeCell ref="AK32:AM32"/>
    <mergeCell ref="AK23:AM23"/>
    <mergeCell ref="AE25:AG25"/>
    <mergeCell ref="AH25:AJ25"/>
    <mergeCell ref="AK25:AM25"/>
    <mergeCell ref="AE23:AG23"/>
    <mergeCell ref="AH23:AJ23"/>
    <mergeCell ref="AE19:AG19"/>
    <mergeCell ref="AH19:AJ19"/>
    <mergeCell ref="AK19:AM19"/>
    <mergeCell ref="AE21:AG21"/>
    <mergeCell ref="AH21:AJ21"/>
    <mergeCell ref="AK21:AM21"/>
    <mergeCell ref="AK15:AM16"/>
    <mergeCell ref="AE17:AG17"/>
    <mergeCell ref="AH17:AJ17"/>
    <mergeCell ref="AK17:AM17"/>
    <mergeCell ref="AC15:AC16"/>
    <mergeCell ref="AD15:AD16"/>
    <mergeCell ref="AE15:AG16"/>
    <mergeCell ref="AH15:AJ16"/>
    <mergeCell ref="AB15:AB16"/>
    <mergeCell ref="T15:V16"/>
    <mergeCell ref="G11:Q11"/>
    <mergeCell ref="G15:I16"/>
    <mergeCell ref="Y15:Y16"/>
    <mergeCell ref="Z15:Z16"/>
    <mergeCell ref="AA15:AA16"/>
    <mergeCell ref="D9:E9"/>
    <mergeCell ref="R9:S9"/>
    <mergeCell ref="P16:R16"/>
    <mergeCell ref="M16:O16"/>
    <mergeCell ref="J16:L16"/>
    <mergeCell ref="F12:Q12"/>
    <mergeCell ref="D15:D16"/>
    <mergeCell ref="E15:E16"/>
    <mergeCell ref="H9:N9"/>
    <mergeCell ref="J15:R15"/>
    <mergeCell ref="J25:R25"/>
    <mergeCell ref="J34:R34"/>
    <mergeCell ref="J32:R32"/>
    <mergeCell ref="T22:V22"/>
    <mergeCell ref="T23:V23"/>
    <mergeCell ref="T33:V33"/>
    <mergeCell ref="T28:V28"/>
    <mergeCell ref="T25:V25"/>
    <mergeCell ref="T26:V26"/>
    <mergeCell ref="T27:V27"/>
    <mergeCell ref="T37:V37"/>
    <mergeCell ref="G37:I37"/>
    <mergeCell ref="G32:I32"/>
    <mergeCell ref="G33:I33"/>
    <mergeCell ref="T35:V35"/>
    <mergeCell ref="T34:V34"/>
    <mergeCell ref="J36:R36"/>
    <mergeCell ref="G35:I35"/>
    <mergeCell ref="G36:I36"/>
    <mergeCell ref="T32:V32"/>
    <mergeCell ref="T19:V19"/>
    <mergeCell ref="J21:R21"/>
    <mergeCell ref="J19:R19"/>
    <mergeCell ref="T20:V20"/>
    <mergeCell ref="G24:I24"/>
    <mergeCell ref="T21:V21"/>
    <mergeCell ref="J23:R23"/>
    <mergeCell ref="T24:V24"/>
    <mergeCell ref="G23:I23"/>
    <mergeCell ref="T36:V36"/>
    <mergeCell ref="G34:I34"/>
    <mergeCell ref="G26:I26"/>
    <mergeCell ref="G27:I27"/>
    <mergeCell ref="G28:I28"/>
    <mergeCell ref="G30:I30"/>
    <mergeCell ref="G31:I31"/>
    <mergeCell ref="T31:V31"/>
    <mergeCell ref="B19:B20"/>
    <mergeCell ref="C19:C20"/>
    <mergeCell ref="B17:B18"/>
    <mergeCell ref="C17:C18"/>
    <mergeCell ref="A17:A18"/>
    <mergeCell ref="G20:I20"/>
    <mergeCell ref="B34:B35"/>
    <mergeCell ref="A32:A33"/>
    <mergeCell ref="B38:B39"/>
    <mergeCell ref="C21:C22"/>
    <mergeCell ref="B15:B16"/>
    <mergeCell ref="C15:C16"/>
    <mergeCell ref="A15:A16"/>
    <mergeCell ref="A19:A20"/>
    <mergeCell ref="A21:A22"/>
    <mergeCell ref="B21:B22"/>
    <mergeCell ref="A23:A24"/>
    <mergeCell ref="B23:B24"/>
    <mergeCell ref="T38:V38"/>
    <mergeCell ref="T39:V39"/>
    <mergeCell ref="G39:I39"/>
    <mergeCell ref="F15:F16"/>
    <mergeCell ref="G17:I17"/>
    <mergeCell ref="G18:I18"/>
    <mergeCell ref="G22:I22"/>
    <mergeCell ref="G19:I19"/>
    <mergeCell ref="B30:B31"/>
    <mergeCell ref="A27:A28"/>
    <mergeCell ref="B27:B28"/>
    <mergeCell ref="J38:R38"/>
    <mergeCell ref="G38:I38"/>
    <mergeCell ref="J27:R27"/>
    <mergeCell ref="A38:A39"/>
    <mergeCell ref="A36:A37"/>
    <mergeCell ref="B36:B37"/>
    <mergeCell ref="A34:A35"/>
    <mergeCell ref="A25:A26"/>
    <mergeCell ref="C38:C39"/>
    <mergeCell ref="D38:D39"/>
    <mergeCell ref="C36:C37"/>
    <mergeCell ref="C34:C35"/>
    <mergeCell ref="D34:D35"/>
    <mergeCell ref="D32:D33"/>
    <mergeCell ref="D36:D37"/>
    <mergeCell ref="B32:B33"/>
    <mergeCell ref="A30:A31"/>
    <mergeCell ref="C32:C33"/>
    <mergeCell ref="C30:C31"/>
    <mergeCell ref="J17:R17"/>
    <mergeCell ref="T30:V30"/>
    <mergeCell ref="D30:D31"/>
    <mergeCell ref="J30:R30"/>
    <mergeCell ref="G25:I25"/>
    <mergeCell ref="G21:I21"/>
    <mergeCell ref="D17:D18"/>
    <mergeCell ref="D19:D20"/>
    <mergeCell ref="C25:C26"/>
    <mergeCell ref="D25:D26"/>
    <mergeCell ref="D27:D28"/>
    <mergeCell ref="B25:B26"/>
    <mergeCell ref="C23:C24"/>
    <mergeCell ref="D23:D24"/>
    <mergeCell ref="C27:C28"/>
    <mergeCell ref="D21:D22"/>
    <mergeCell ref="H7:J7"/>
    <mergeCell ref="K7:T7"/>
    <mergeCell ref="E3:S3"/>
    <mergeCell ref="E1:T1"/>
    <mergeCell ref="B4:W4"/>
    <mergeCell ref="B5:J5"/>
    <mergeCell ref="K5:W5"/>
    <mergeCell ref="T17:V17"/>
    <mergeCell ref="T18:V18"/>
  </mergeCells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180"/>
  <sheetViews>
    <sheetView zoomScalePageLayoutView="0" workbookViewId="0" topLeftCell="A1">
      <selection activeCell="AS16" sqref="AS16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5" max="37" width="3.421875" style="0" customWidth="1"/>
    <col min="38" max="38" width="3.57421875" style="0" bestFit="1" customWidth="1"/>
    <col min="39" max="42" width="0" style="514" hidden="1" customWidth="1"/>
    <col min="43" max="45" width="3.421875" style="514" customWidth="1"/>
  </cols>
  <sheetData>
    <row r="1" spans="1:45" s="184" customFormat="1" ht="33.75" customHeight="1" thickTop="1">
      <c r="A1" s="907" t="s">
        <v>160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908"/>
      <c r="AB1" s="908"/>
      <c r="AC1" s="909"/>
      <c r="AD1" s="290"/>
      <c r="AE1" s="290"/>
      <c r="AF1" s="290"/>
      <c r="AG1" s="290"/>
      <c r="AH1" s="291"/>
      <c r="AM1" s="511"/>
      <c r="AN1" s="511"/>
      <c r="AO1" s="511"/>
      <c r="AP1" s="511"/>
      <c r="AQ1" s="511"/>
      <c r="AR1" s="511"/>
      <c r="AS1" s="511"/>
    </row>
    <row r="2" spans="1:45" s="184" customFormat="1" ht="17.25" customHeight="1" thickBot="1">
      <c r="A2" s="910" t="s">
        <v>298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2"/>
      <c r="AD2" s="292"/>
      <c r="AE2" s="292"/>
      <c r="AF2" s="292"/>
      <c r="AG2" s="292"/>
      <c r="AH2" s="293"/>
      <c r="AM2" s="511"/>
      <c r="AN2" s="511"/>
      <c r="AO2" s="511"/>
      <c r="AP2" s="511"/>
      <c r="AQ2" s="511"/>
      <c r="AR2" s="511"/>
      <c r="AS2" s="511"/>
    </row>
    <row r="3" spans="1:45" s="270" customFormat="1" ht="29.25" customHeight="1" thickBot="1" thickTop="1">
      <c r="A3" s="294" t="s">
        <v>161</v>
      </c>
      <c r="B3" s="295"/>
      <c r="C3" s="295"/>
      <c r="D3" s="295"/>
      <c r="E3" s="295"/>
      <c r="F3" s="296"/>
      <c r="G3" s="913" t="str">
        <f>Mannschaften!D2</f>
        <v> Deutsche Meisterschaft der Jugend  Feld   2019</v>
      </c>
      <c r="H3" s="914"/>
      <c r="I3" s="914"/>
      <c r="J3" s="914"/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5"/>
      <c r="AD3" s="297"/>
      <c r="AE3" s="297"/>
      <c r="AF3" s="297"/>
      <c r="AG3" s="297"/>
      <c r="AH3" s="298"/>
      <c r="AL3" s="881" t="s">
        <v>9</v>
      </c>
      <c r="AM3" s="878" t="s">
        <v>10</v>
      </c>
      <c r="AN3" s="878" t="s">
        <v>10</v>
      </c>
      <c r="AO3" s="878" t="s">
        <v>10</v>
      </c>
      <c r="AP3" s="878" t="s">
        <v>10</v>
      </c>
      <c r="AQ3" s="512"/>
      <c r="AR3" s="512"/>
      <c r="AS3" s="512"/>
    </row>
    <row r="4" spans="1:45" s="270" customFormat="1" ht="22.5" customHeight="1" thickBot="1" thickTop="1">
      <c r="A4" s="299" t="s">
        <v>159</v>
      </c>
      <c r="B4" s="300"/>
      <c r="C4" s="300"/>
      <c r="D4" s="300"/>
      <c r="E4" s="300"/>
      <c r="F4" s="301"/>
      <c r="G4" s="913" t="str">
        <f>Mannschaften!K3</f>
        <v>m U18</v>
      </c>
      <c r="H4" s="914"/>
      <c r="I4" s="914"/>
      <c r="J4" s="914"/>
      <c r="K4" s="914"/>
      <c r="L4" s="914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3"/>
      <c r="AD4" s="297"/>
      <c r="AE4" s="297"/>
      <c r="AF4" s="297"/>
      <c r="AG4" s="297"/>
      <c r="AH4" s="298"/>
      <c r="AL4" s="882"/>
      <c r="AM4" s="879"/>
      <c r="AN4" s="879"/>
      <c r="AO4" s="879"/>
      <c r="AP4" s="879"/>
      <c r="AQ4" s="512"/>
      <c r="AR4" s="512"/>
      <c r="AS4" s="512"/>
    </row>
    <row r="5" spans="1:45" s="184" customFormat="1" ht="18" customHeight="1" thickBot="1" thickTop="1">
      <c r="A5" s="304" t="s">
        <v>165</v>
      </c>
      <c r="B5" s="305"/>
      <c r="C5" s="305"/>
      <c r="D5" s="306"/>
      <c r="E5" s="307"/>
      <c r="F5" s="880" t="str">
        <f>IF(VLOOKUP(AL5,PlanS,AM5,FALSE)="","",(VLOOKUP(AL5,PlanS,AM5,FALSE)))</f>
        <v>Vorrunde Gruppe A</v>
      </c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308" t="s">
        <v>162</v>
      </c>
      <c r="S5" s="308"/>
      <c r="T5" s="308"/>
      <c r="U5" s="309"/>
      <c r="V5" s="308"/>
      <c r="W5" s="885" t="str">
        <f>Mannschaften!I4</f>
        <v>Hallerstein</v>
      </c>
      <c r="X5" s="886"/>
      <c r="Y5" s="886"/>
      <c r="Z5" s="886"/>
      <c r="AA5" s="886"/>
      <c r="AB5" s="886"/>
      <c r="AC5" s="887"/>
      <c r="AD5" s="310"/>
      <c r="AE5" s="310"/>
      <c r="AF5" s="310"/>
      <c r="AG5" s="310"/>
      <c r="AH5" s="311"/>
      <c r="AL5" s="2">
        <v>1</v>
      </c>
      <c r="AM5" s="515">
        <v>24</v>
      </c>
      <c r="AN5" s="515">
        <v>25</v>
      </c>
      <c r="AO5" s="515"/>
      <c r="AP5" s="515"/>
      <c r="AQ5" s="511"/>
      <c r="AR5" s="511"/>
      <c r="AS5" s="511"/>
    </row>
    <row r="6" spans="1:45" s="184" customFormat="1" ht="18" customHeight="1" thickTop="1">
      <c r="A6" s="537" t="s">
        <v>77</v>
      </c>
      <c r="B6" s="538"/>
      <c r="C6" s="538"/>
      <c r="D6" s="312"/>
      <c r="E6" s="539"/>
      <c r="F6" s="863">
        <f>IF(VLOOKUP(AL6,PlanS,AM6,FALSE)="","",(VLOOKUP(AL6,PlanS,AM6,FALSE)))</f>
      </c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5" t="s">
        <v>163</v>
      </c>
      <c r="S6" s="85"/>
      <c r="T6" s="85"/>
      <c r="U6" s="420"/>
      <c r="V6" s="85"/>
      <c r="W6" s="883">
        <f>IF(VLOOKUP(AL6,PlanS,AN6,FALSE)="","",(VLOOKUP(AL6,PlanS,AN6,FALSE)))</f>
        <v>43715</v>
      </c>
      <c r="X6" s="884"/>
      <c r="Y6" s="884"/>
      <c r="Z6" s="884"/>
      <c r="AA6" s="884"/>
      <c r="AB6" s="421"/>
      <c r="AC6" s="421"/>
      <c r="AD6" s="422"/>
      <c r="AE6" s="422"/>
      <c r="AF6" s="84"/>
      <c r="AG6" s="84"/>
      <c r="AH6" s="423"/>
      <c r="AL6" s="313">
        <f aca="true" t="shared" si="0" ref="AL6:AL11">AL5</f>
        <v>1</v>
      </c>
      <c r="AM6" s="516">
        <v>21</v>
      </c>
      <c r="AN6" s="516">
        <v>25</v>
      </c>
      <c r="AO6" s="515"/>
      <c r="AP6" s="515"/>
      <c r="AQ6" s="511"/>
      <c r="AR6" s="511"/>
      <c r="AS6" s="511"/>
    </row>
    <row r="7" spans="1:45" s="184" customFormat="1" ht="18" customHeight="1">
      <c r="A7" s="537" t="s">
        <v>13</v>
      </c>
      <c r="B7" s="538"/>
      <c r="C7" s="538"/>
      <c r="D7" s="312"/>
      <c r="E7" s="539"/>
      <c r="F7" s="863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417" t="s">
        <v>167</v>
      </c>
      <c r="S7" s="417"/>
      <c r="T7" s="417"/>
      <c r="U7" s="418"/>
      <c r="V7" s="419"/>
      <c r="W7" s="866">
        <f>IF(VLOOKUP(AL7,PlanS,AN7,FALSE)="","",(VLOOKUP(AL7,PlanS,AN7,FALSE)))</f>
        <v>0.4375</v>
      </c>
      <c r="X7" s="867"/>
      <c r="Y7" s="867"/>
      <c r="Z7" s="867"/>
      <c r="AA7" s="424" t="s">
        <v>12</v>
      </c>
      <c r="AB7" s="425"/>
      <c r="AC7" s="426"/>
      <c r="AD7" s="868"/>
      <c r="AE7" s="868"/>
      <c r="AF7" s="868"/>
      <c r="AG7" s="868"/>
      <c r="AH7" s="869"/>
      <c r="AL7" s="313">
        <f t="shared" si="0"/>
        <v>1</v>
      </c>
      <c r="AM7" s="516"/>
      <c r="AN7" s="516">
        <v>3</v>
      </c>
      <c r="AO7" s="515"/>
      <c r="AP7" s="515"/>
      <c r="AQ7" s="511"/>
      <c r="AR7" s="511"/>
      <c r="AS7" s="511"/>
    </row>
    <row r="8" spans="1:45" s="184" customFormat="1" ht="18" customHeight="1">
      <c r="A8" s="537" t="s">
        <v>14</v>
      </c>
      <c r="B8" s="538"/>
      <c r="C8" s="538"/>
      <c r="D8" s="312"/>
      <c r="E8" s="539"/>
      <c r="F8" s="870" t="str">
        <f>IF(VLOOKUP(AL8,PlanS,AM8,FALSE)="","",(VLOOKUP(AL8,PlanS,AM8,FALSE)))</f>
        <v>Berliner Turnerschaft</v>
      </c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2"/>
      <c r="R8" s="417" t="s">
        <v>168</v>
      </c>
      <c r="S8" s="417"/>
      <c r="T8" s="417"/>
      <c r="U8" s="418"/>
      <c r="V8" s="419"/>
      <c r="W8" s="873">
        <f>IF(VLOOKUP(AL8,PlanS,AN8,FALSE)="","",(VLOOKUP(AL8,PlanS,AN8,FALSE)))</f>
        <v>1</v>
      </c>
      <c r="X8" s="865"/>
      <c r="Y8" s="427"/>
      <c r="Z8" s="427"/>
      <c r="AA8" s="427"/>
      <c r="AB8" s="429" t="s">
        <v>164</v>
      </c>
      <c r="AC8" s="425"/>
      <c r="AD8" s="865">
        <f>IF(VLOOKUP(AL8,PlanS,AO8,FALSE)="","",(VLOOKUP(AL8,PlanS,AO8,FALSE)))</f>
        <v>1</v>
      </c>
      <c r="AE8" s="865"/>
      <c r="AF8" s="427"/>
      <c r="AG8" s="427"/>
      <c r="AH8" s="428"/>
      <c r="AL8" s="313">
        <f t="shared" si="0"/>
        <v>1</v>
      </c>
      <c r="AM8" s="516">
        <v>20</v>
      </c>
      <c r="AN8" s="516">
        <v>2</v>
      </c>
      <c r="AO8" s="515">
        <v>5</v>
      </c>
      <c r="AP8" s="515"/>
      <c r="AQ8" s="511"/>
      <c r="AR8" s="511"/>
      <c r="AS8" s="511"/>
    </row>
    <row r="9" spans="1:45" s="184" customFormat="1" ht="18" customHeight="1" thickBot="1">
      <c r="A9" s="540" t="s">
        <v>166</v>
      </c>
      <c r="B9" s="541"/>
      <c r="C9" s="541"/>
      <c r="D9" s="314"/>
      <c r="E9" s="542"/>
      <c r="F9" s="856" t="str">
        <f>IF(VLOOKUP(AL8,PlanS,AM8,FALSE)="","",(VLOOKUP(AL8,PlanS,AM8,FALSE)))</f>
        <v>Berliner Turnerschaft</v>
      </c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8"/>
      <c r="R9" s="85" t="s">
        <v>169</v>
      </c>
      <c r="S9" s="86"/>
      <c r="T9" s="86"/>
      <c r="U9" s="430"/>
      <c r="V9" s="431"/>
      <c r="W9" s="859">
        <f>IF(VLOOKUP(AL9,PlanS,AN9,FALSE)="","",(VLOOKUP(AL9,PlanS,AN9,FALSE)))</f>
        <v>1</v>
      </c>
      <c r="X9" s="860"/>
      <c r="Y9" s="432"/>
      <c r="Z9" s="432"/>
      <c r="AA9" s="432"/>
      <c r="AB9" s="432"/>
      <c r="AC9" s="432"/>
      <c r="AD9" s="432"/>
      <c r="AE9" s="432"/>
      <c r="AF9" s="432"/>
      <c r="AG9" s="432"/>
      <c r="AH9" s="433"/>
      <c r="AL9" s="313">
        <f t="shared" si="0"/>
        <v>1</v>
      </c>
      <c r="AM9" s="516">
        <f>AM8</f>
        <v>20</v>
      </c>
      <c r="AN9" s="516">
        <v>4</v>
      </c>
      <c r="AO9" s="515"/>
      <c r="AP9" s="515"/>
      <c r="AQ9" s="511"/>
      <c r="AR9" s="511"/>
      <c r="AS9" s="511"/>
    </row>
    <row r="10" spans="1:45" s="184" customFormat="1" ht="21.75" customHeight="1" thickBot="1" thickTop="1">
      <c r="A10" s="861" t="s">
        <v>15</v>
      </c>
      <c r="B10" s="862"/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316" t="s">
        <v>170</v>
      </c>
      <c r="P10" s="317" t="s">
        <v>171</v>
      </c>
      <c r="Q10" s="318" t="s">
        <v>172</v>
      </c>
      <c r="R10" s="861" t="s">
        <v>16</v>
      </c>
      <c r="S10" s="862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874"/>
      <c r="AF10" s="316" t="s">
        <v>170</v>
      </c>
      <c r="AG10" s="317" t="s">
        <v>171</v>
      </c>
      <c r="AH10" s="318" t="s">
        <v>172</v>
      </c>
      <c r="AL10" s="313">
        <f t="shared" si="0"/>
        <v>1</v>
      </c>
      <c r="AM10" s="516"/>
      <c r="AN10" s="516"/>
      <c r="AO10" s="515"/>
      <c r="AP10" s="515"/>
      <c r="AQ10" s="511"/>
      <c r="AR10" s="511"/>
      <c r="AS10" s="511"/>
    </row>
    <row r="11" spans="1:45" s="184" customFormat="1" ht="18.75" customHeight="1" thickBot="1">
      <c r="A11" s="875" t="str">
        <f>IF(VLOOKUP(AL11,PlanS,AM11,FALSE)="","",(VLOOKUP(AL11,PlanS,AM11,FALSE)))</f>
        <v>TV Vaihingen/Enz</v>
      </c>
      <c r="B11" s="876"/>
      <c r="C11" s="876"/>
      <c r="D11" s="876"/>
      <c r="E11" s="876"/>
      <c r="F11" s="876"/>
      <c r="G11" s="876"/>
      <c r="H11" s="876"/>
      <c r="I11" s="876"/>
      <c r="J11" s="876"/>
      <c r="K11" s="876"/>
      <c r="L11" s="876"/>
      <c r="M11" s="876"/>
      <c r="N11" s="876"/>
      <c r="O11" s="319"/>
      <c r="P11" s="320"/>
      <c r="Q11" s="321"/>
      <c r="R11" s="875" t="str">
        <f>IF(VLOOKUP(AL11,PlanS,AN11,FALSE)="","",(VLOOKUP(AL11,PlanS,AN11,FALSE)))</f>
        <v>NlV Stuttgart</v>
      </c>
      <c r="S11" s="876"/>
      <c r="T11" s="876"/>
      <c r="U11" s="876"/>
      <c r="V11" s="876"/>
      <c r="W11" s="876"/>
      <c r="X11" s="876"/>
      <c r="Y11" s="876"/>
      <c r="Z11" s="876"/>
      <c r="AA11" s="876"/>
      <c r="AB11" s="876"/>
      <c r="AC11" s="876"/>
      <c r="AD11" s="876"/>
      <c r="AE11" s="877"/>
      <c r="AF11" s="319"/>
      <c r="AG11" s="320"/>
      <c r="AH11" s="321"/>
      <c r="AL11" s="313">
        <f t="shared" si="0"/>
        <v>1</v>
      </c>
      <c r="AM11" s="516">
        <v>6</v>
      </c>
      <c r="AN11" s="516">
        <v>8</v>
      </c>
      <c r="AO11" s="515"/>
      <c r="AP11" s="515"/>
      <c r="AQ11" s="511"/>
      <c r="AR11" s="511"/>
      <c r="AS11" s="511"/>
    </row>
    <row r="12" spans="1:45" s="184" customFormat="1" ht="18" customHeight="1" thickBot="1" thickTop="1">
      <c r="A12" s="322" t="s">
        <v>17</v>
      </c>
      <c r="B12" s="323" t="s">
        <v>18</v>
      </c>
      <c r="C12" s="324" t="s">
        <v>19</v>
      </c>
      <c r="D12" s="325"/>
      <c r="E12" s="326" t="s">
        <v>20</v>
      </c>
      <c r="F12" s="327"/>
      <c r="G12" s="327"/>
      <c r="H12" s="327"/>
      <c r="I12" s="327"/>
      <c r="J12" s="327"/>
      <c r="K12" s="327"/>
      <c r="L12" s="327"/>
      <c r="M12" s="327"/>
      <c r="N12" s="327"/>
      <c r="O12" s="328"/>
      <c r="P12" s="329"/>
      <c r="Q12" s="330"/>
      <c r="R12" s="322" t="s">
        <v>17</v>
      </c>
      <c r="S12" s="323" t="s">
        <v>18</v>
      </c>
      <c r="T12" s="324" t="s">
        <v>19</v>
      </c>
      <c r="U12" s="325"/>
      <c r="V12" s="326" t="s">
        <v>20</v>
      </c>
      <c r="W12" s="327"/>
      <c r="X12" s="327"/>
      <c r="Y12" s="327"/>
      <c r="Z12" s="327"/>
      <c r="AA12" s="327"/>
      <c r="AB12" s="327"/>
      <c r="AC12" s="327"/>
      <c r="AD12" s="327"/>
      <c r="AE12" s="327"/>
      <c r="AF12" s="328"/>
      <c r="AG12" s="329"/>
      <c r="AH12" s="330"/>
      <c r="AM12" s="511"/>
      <c r="AN12" s="511"/>
      <c r="AO12" s="511"/>
      <c r="AP12" s="511"/>
      <c r="AQ12" s="511"/>
      <c r="AR12" s="511"/>
      <c r="AS12" s="511"/>
    </row>
    <row r="13" spans="1:45" s="340" customFormat="1" ht="18" customHeight="1" hidden="1" thickBot="1">
      <c r="A13" s="331"/>
      <c r="B13" s="332"/>
      <c r="C13" s="333"/>
      <c r="D13" s="334"/>
      <c r="E13" s="335">
        <f>HLOOKUP(A11,Mannschaften!B11:AQ13,3,FALSE)</f>
        <v>10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7"/>
      <c r="P13" s="338"/>
      <c r="Q13" s="339"/>
      <c r="R13" s="331"/>
      <c r="S13" s="332"/>
      <c r="T13" s="333"/>
      <c r="U13" s="334"/>
      <c r="V13" s="335">
        <f>HLOOKUP(R11,Mannschaften!B11:AQ14,3,FALSE)</f>
        <v>22</v>
      </c>
      <c r="W13" s="336"/>
      <c r="X13" s="336"/>
      <c r="Y13" s="336"/>
      <c r="Z13" s="336"/>
      <c r="AA13" s="336"/>
      <c r="AB13" s="336"/>
      <c r="AC13" s="336"/>
      <c r="AD13" s="336"/>
      <c r="AE13" s="336"/>
      <c r="AF13" s="337"/>
      <c r="AG13" s="338"/>
      <c r="AH13" s="339"/>
      <c r="AM13" s="513"/>
      <c r="AN13" s="513"/>
      <c r="AO13" s="513"/>
      <c r="AP13" s="513"/>
      <c r="AQ13" s="513"/>
      <c r="AR13" s="513"/>
      <c r="AS13" s="513"/>
    </row>
    <row r="14" spans="1:45" s="184" customFormat="1" ht="18" customHeight="1" thickTop="1">
      <c r="A14" s="341">
        <f>IF($A$11="","",IF(VLOOKUP(D14,Mannschaften!$B$14:$E$142,2,FALSE)=0,"",(VLOOKUP(D14,Mannschaften!$B$14:$E$142,2,FALSE))))</f>
      </c>
      <c r="B14" s="345">
        <f>IF($A$11="","",IF(VLOOKUP(D14,Mannschaften!$B$14:$E$142,3,FALSE)=0,"",(VLOOKUP(D14,Mannschaften!$B$14:$E$142,3,FALSE))))</f>
      </c>
      <c r="C14" s="87"/>
      <c r="D14" s="343">
        <f>E13</f>
        <v>10</v>
      </c>
      <c r="E14" s="853">
        <f>IF($A$11="","",IF(VLOOKUP(D14,Mannschaften!$B$14:$E$142,4,FALSE)=0,"",(VLOOKUP(D14,Mannschaften!$B$14:$E$142,4,FALSE))))</f>
      </c>
      <c r="F14" s="854"/>
      <c r="G14" s="854"/>
      <c r="H14" s="854"/>
      <c r="I14" s="854"/>
      <c r="J14" s="854"/>
      <c r="K14" s="854"/>
      <c r="L14" s="854"/>
      <c r="M14" s="854"/>
      <c r="N14" s="855"/>
      <c r="O14" s="88"/>
      <c r="P14" s="89"/>
      <c r="Q14" s="90"/>
      <c r="R14" s="341">
        <f>IF($R$11="","",IF(VLOOKUP(U14,Mannschaften!$B$14:$E$142,2,FALSE)=0,"",(VLOOKUP(U14,Mannschaften!$B$14:$E$142,2,FALSE))))</f>
      </c>
      <c r="S14" s="342">
        <f>IF($R$11="","",IF(VLOOKUP(U14,Mannschaften!$B$14:$E$142,3,FALSE)=0,"",(VLOOKUP(U14,Mannschaften!$B$14:$E$142,3,FALSE))))</f>
      </c>
      <c r="T14" s="87"/>
      <c r="U14" s="343">
        <f>V13</f>
        <v>22</v>
      </c>
      <c r="V14" s="853">
        <f>IF($R$11="","",IF(VLOOKUP(U14,Mannschaften!$B$14:$E$142,4,FALSE)=0,"",(VLOOKUP(U14,Mannschaften!$B$14:$E$142,4,FALSE))))</f>
      </c>
      <c r="W14" s="854"/>
      <c r="X14" s="854"/>
      <c r="Y14" s="854"/>
      <c r="Z14" s="854"/>
      <c r="AA14" s="854"/>
      <c r="AB14" s="854"/>
      <c r="AC14" s="854"/>
      <c r="AD14" s="854"/>
      <c r="AE14" s="855"/>
      <c r="AF14" s="88"/>
      <c r="AG14" s="89"/>
      <c r="AH14" s="90"/>
      <c r="AM14" s="511"/>
      <c r="AN14" s="511"/>
      <c r="AO14" s="511"/>
      <c r="AP14" s="511"/>
      <c r="AQ14" s="511"/>
      <c r="AR14" s="511"/>
      <c r="AS14" s="511"/>
    </row>
    <row r="15" spans="1:45" s="184" customFormat="1" ht="18" customHeight="1">
      <c r="A15" s="344">
        <f>IF($A$11="","",IF(VLOOKUP(D15,Mannschaften!$B$14:$E$142,2,FALSE)=0,"",(VLOOKUP(D15,Mannschaften!$B$14:$E$142,2,FALSE))))</f>
      </c>
      <c r="B15" s="345">
        <f>IF($A$11="","",IF(VLOOKUP(D15,Mannschaften!$B$14:$E$142,3,FALSE)=0,"",(VLOOKUP(D15,Mannschaften!$B$14:$E$142,3,FALSE))))</f>
      </c>
      <c r="C15" s="91"/>
      <c r="D15" s="312">
        <f>D14+1</f>
        <v>11</v>
      </c>
      <c r="E15" s="850">
        <f>IF($A$11="","",IF(VLOOKUP(D15,Mannschaften!$B$14:$E$142,4,FALSE)=0,"",(VLOOKUP(D15,Mannschaften!$B$14:$E$142,4,FALSE))))</f>
      </c>
      <c r="F15" s="851"/>
      <c r="G15" s="851"/>
      <c r="H15" s="851"/>
      <c r="I15" s="851"/>
      <c r="J15" s="851"/>
      <c r="K15" s="851"/>
      <c r="L15" s="851"/>
      <c r="M15" s="851"/>
      <c r="N15" s="852"/>
      <c r="O15" s="92"/>
      <c r="P15" s="93"/>
      <c r="Q15" s="94"/>
      <c r="R15" s="344">
        <f>IF($R$11="","",IF(VLOOKUP(U15,Mannschaften!$B$14:$E$142,2,FALSE)=0,"",(VLOOKUP(U15,Mannschaften!$B$14:$E$142,2,FALSE))))</f>
      </c>
      <c r="S15" s="345">
        <f>IF($R$11="","",IF(VLOOKUP(U15,Mannschaften!$B$14:$E$142,3,FALSE)=0,"",(VLOOKUP(U15,Mannschaften!$B$14:$E$142,3,FALSE))))</f>
      </c>
      <c r="T15" s="91"/>
      <c r="U15" s="312">
        <f>U14+1</f>
        <v>23</v>
      </c>
      <c r="V15" s="850">
        <f>IF($R$11="","",IF(VLOOKUP(U15,Mannschaften!$B$14:$E$142,4,FALSE)=0,"",(VLOOKUP(U15,Mannschaften!$B$14:$E$142,4,FALSE))))</f>
      </c>
      <c r="W15" s="851"/>
      <c r="X15" s="851"/>
      <c r="Y15" s="851"/>
      <c r="Z15" s="851"/>
      <c r="AA15" s="851"/>
      <c r="AB15" s="851"/>
      <c r="AC15" s="851"/>
      <c r="AD15" s="851"/>
      <c r="AE15" s="852"/>
      <c r="AF15" s="92"/>
      <c r="AG15" s="93"/>
      <c r="AH15" s="94"/>
      <c r="AM15" s="511"/>
      <c r="AN15" s="511"/>
      <c r="AO15" s="511"/>
      <c r="AP15" s="511"/>
      <c r="AQ15" s="511"/>
      <c r="AR15" s="511"/>
      <c r="AS15" s="511"/>
    </row>
    <row r="16" spans="1:45" s="184" customFormat="1" ht="18" customHeight="1">
      <c r="A16" s="344">
        <f>IF($A$11="","",IF(VLOOKUP(D16,Mannschaften!$B$14:$E$142,2,FALSE)=0,"",(VLOOKUP(D16,Mannschaften!$B$14:$E$142,2,FALSE))))</f>
      </c>
      <c r="B16" s="345">
        <f>IF($A$11="","",IF(VLOOKUP(D16,Mannschaften!$B$14:$E$142,3,FALSE)=0,"",(VLOOKUP(D16,Mannschaften!$B$14:$E$142,3,FALSE))))</f>
      </c>
      <c r="C16" s="95"/>
      <c r="D16" s="312">
        <f aca="true" t="shared" si="1" ref="D16:D25">D15+1</f>
        <v>12</v>
      </c>
      <c r="E16" s="850">
        <f>IF($A$11="","",IF(VLOOKUP(D16,Mannschaften!$B$14:$E$142,4,FALSE)=0,"",(VLOOKUP(D16,Mannschaften!$B$14:$E$142,4,FALSE))))</f>
      </c>
      <c r="F16" s="851"/>
      <c r="G16" s="851"/>
      <c r="H16" s="851"/>
      <c r="I16" s="851"/>
      <c r="J16" s="851"/>
      <c r="K16" s="851"/>
      <c r="L16" s="851"/>
      <c r="M16" s="851"/>
      <c r="N16" s="852"/>
      <c r="O16" s="92"/>
      <c r="P16" s="96"/>
      <c r="Q16" s="94"/>
      <c r="R16" s="344">
        <f>IF($R$11="","",IF(VLOOKUP(U16,Mannschaften!$B$14:$E$142,2,FALSE)=0,"",(VLOOKUP(U16,Mannschaften!$B$14:$E$142,2,FALSE))))</f>
      </c>
      <c r="S16" s="345">
        <f>IF($R$11="","",IF(VLOOKUP(U16,Mannschaften!$B$14:$E$142,3,FALSE)=0,"",(VLOOKUP(U16,Mannschaften!$B$14:$E$142,3,FALSE))))</f>
      </c>
      <c r="T16" s="95"/>
      <c r="U16" s="312">
        <f aca="true" t="shared" si="2" ref="U16:U25">U15+1</f>
        <v>24</v>
      </c>
      <c r="V16" s="850">
        <f>IF($R$11="","",IF(VLOOKUP(U16,Mannschaften!$B$14:$E$142,4,FALSE)=0,"",(VLOOKUP(U16,Mannschaften!$B$14:$E$142,4,FALSE))))</f>
      </c>
      <c r="W16" s="851"/>
      <c r="X16" s="851"/>
      <c r="Y16" s="851"/>
      <c r="Z16" s="851"/>
      <c r="AA16" s="851"/>
      <c r="AB16" s="851"/>
      <c r="AC16" s="851"/>
      <c r="AD16" s="851"/>
      <c r="AE16" s="852"/>
      <c r="AF16" s="92"/>
      <c r="AG16" s="96"/>
      <c r="AH16" s="94"/>
      <c r="AM16" s="511"/>
      <c r="AN16" s="511"/>
      <c r="AO16" s="511"/>
      <c r="AP16" s="511"/>
      <c r="AQ16" s="511"/>
      <c r="AR16" s="511"/>
      <c r="AS16" s="511"/>
    </row>
    <row r="17" spans="1:45" s="184" customFormat="1" ht="18" customHeight="1">
      <c r="A17" s="344">
        <f>IF($A$11="","",IF(VLOOKUP(D17,Mannschaften!$B$14:$E$142,2,FALSE)=0,"",(VLOOKUP(D17,Mannschaften!$B$14:$E$142,2,FALSE))))</f>
      </c>
      <c r="B17" s="345">
        <f>IF($A$11="","",IF(VLOOKUP(D17,Mannschaften!$B$14:$E$142,3,FALSE)=0,"",(VLOOKUP(D17,Mannschaften!$B$14:$E$142,3,FALSE))))</f>
      </c>
      <c r="C17" s="97"/>
      <c r="D17" s="312">
        <f t="shared" si="1"/>
        <v>13</v>
      </c>
      <c r="E17" s="850">
        <f>IF($A$11="","",IF(VLOOKUP(D17,Mannschaften!$B$14:$E$142,4,FALSE)=0,"",(VLOOKUP(D17,Mannschaften!$B$14:$E$142,4,FALSE))))</f>
      </c>
      <c r="F17" s="851"/>
      <c r="G17" s="851"/>
      <c r="H17" s="851"/>
      <c r="I17" s="851"/>
      <c r="J17" s="851"/>
      <c r="K17" s="851"/>
      <c r="L17" s="851"/>
      <c r="M17" s="851"/>
      <c r="N17" s="852"/>
      <c r="O17" s="92"/>
      <c r="P17" s="96"/>
      <c r="Q17" s="94"/>
      <c r="R17" s="344">
        <f>IF($R$11="","",IF(VLOOKUP(U17,Mannschaften!$B$14:$E$142,2,FALSE)=0,"",(VLOOKUP(U17,Mannschaften!$B$14:$E$142,2,FALSE))))</f>
      </c>
      <c r="S17" s="345">
        <f>IF($R$11="","",IF(VLOOKUP(U17,Mannschaften!$B$14:$E$142,3,FALSE)=0,"",(VLOOKUP(U17,Mannschaften!$B$14:$E$142,3,FALSE))))</f>
      </c>
      <c r="T17" s="97"/>
      <c r="U17" s="312">
        <f t="shared" si="2"/>
        <v>25</v>
      </c>
      <c r="V17" s="850">
        <f>IF($R$11="","",IF(VLOOKUP(U17,Mannschaften!$B$14:$E$142,4,FALSE)=0,"",(VLOOKUP(U17,Mannschaften!$B$14:$E$142,4,FALSE))))</f>
      </c>
      <c r="W17" s="851"/>
      <c r="X17" s="851"/>
      <c r="Y17" s="851"/>
      <c r="Z17" s="851"/>
      <c r="AA17" s="851"/>
      <c r="AB17" s="851"/>
      <c r="AC17" s="851"/>
      <c r="AD17" s="851"/>
      <c r="AE17" s="852"/>
      <c r="AF17" s="92"/>
      <c r="AG17" s="96"/>
      <c r="AH17" s="94"/>
      <c r="AM17" s="511"/>
      <c r="AN17" s="511"/>
      <c r="AO17" s="511"/>
      <c r="AP17" s="511"/>
      <c r="AQ17" s="511"/>
      <c r="AR17" s="511"/>
      <c r="AS17" s="511"/>
    </row>
    <row r="18" spans="1:45" s="184" customFormat="1" ht="18" customHeight="1">
      <c r="A18" s="344">
        <f>IF($A$11="","",IF(VLOOKUP(D18,Mannschaften!$B$14:$E$142,2,FALSE)=0,"",(VLOOKUP(D18,Mannschaften!$B$14:$E$142,2,FALSE))))</f>
      </c>
      <c r="B18" s="345">
        <f>IF($A$11="","",IF(VLOOKUP(D18,Mannschaften!$B$14:$E$142,3,FALSE)=0,"",(VLOOKUP(D18,Mannschaften!$B$14:$E$142,3,FALSE))))</f>
      </c>
      <c r="C18" s="98"/>
      <c r="D18" s="312">
        <f t="shared" si="1"/>
        <v>14</v>
      </c>
      <c r="E18" s="850">
        <f>IF($A$11="","",IF(VLOOKUP(D18,Mannschaften!$B$14:$E$142,4,FALSE)=0,"",(VLOOKUP(D18,Mannschaften!$B$14:$E$142,4,FALSE))))</f>
      </c>
      <c r="F18" s="851"/>
      <c r="G18" s="851"/>
      <c r="H18" s="851"/>
      <c r="I18" s="851"/>
      <c r="J18" s="851"/>
      <c r="K18" s="851"/>
      <c r="L18" s="851"/>
      <c r="M18" s="851"/>
      <c r="N18" s="852"/>
      <c r="O18" s="92"/>
      <c r="P18" s="99"/>
      <c r="Q18" s="94"/>
      <c r="R18" s="344">
        <f>IF($R$11="","",IF(VLOOKUP(U18,Mannschaften!$B$14:$E$142,2,FALSE)=0,"",(VLOOKUP(U18,Mannschaften!$B$14:$E$142,2,FALSE))))</f>
      </c>
      <c r="S18" s="345">
        <f>IF($R$11="","",IF(VLOOKUP(U18,Mannschaften!$B$14:$E$142,3,FALSE)=0,"",(VLOOKUP(U18,Mannschaften!$B$14:$E$142,3,FALSE))))</f>
      </c>
      <c r="T18" s="98"/>
      <c r="U18" s="312">
        <f t="shared" si="2"/>
        <v>26</v>
      </c>
      <c r="V18" s="850">
        <f>IF($R$11="","",IF(VLOOKUP(U18,Mannschaften!$B$14:$E$142,4,FALSE)=0,"",(VLOOKUP(U18,Mannschaften!$B$14:$E$142,4,FALSE))))</f>
      </c>
      <c r="W18" s="851"/>
      <c r="X18" s="851"/>
      <c r="Y18" s="851"/>
      <c r="Z18" s="851"/>
      <c r="AA18" s="851"/>
      <c r="AB18" s="851"/>
      <c r="AC18" s="851"/>
      <c r="AD18" s="851"/>
      <c r="AE18" s="852"/>
      <c r="AF18" s="92"/>
      <c r="AG18" s="99"/>
      <c r="AH18" s="94"/>
      <c r="AM18" s="511"/>
      <c r="AN18" s="511"/>
      <c r="AO18" s="511"/>
      <c r="AP18" s="511"/>
      <c r="AQ18" s="511"/>
      <c r="AR18" s="511"/>
      <c r="AS18" s="511"/>
    </row>
    <row r="19" spans="1:45" s="184" customFormat="1" ht="18" customHeight="1">
      <c r="A19" s="344">
        <f>IF($A$11="","",IF(VLOOKUP(D19,Mannschaften!$B$14:$E$142,2,FALSE)=0,"",(VLOOKUP(D19,Mannschaften!$B$14:$E$142,2,FALSE))))</f>
      </c>
      <c r="B19" s="345">
        <f>IF($A$11="","",IF(VLOOKUP(D19,Mannschaften!$B$14:$E$142,3,FALSE)=0,"",(VLOOKUP(D19,Mannschaften!$B$14:$E$142,3,FALSE))))</f>
      </c>
      <c r="C19" s="97"/>
      <c r="D19" s="312">
        <f t="shared" si="1"/>
        <v>15</v>
      </c>
      <c r="E19" s="850">
        <f>IF($A$11="","",IF(VLOOKUP(D19,Mannschaften!$B$14:$E$142,4,FALSE)=0,"",(VLOOKUP(D19,Mannschaften!$B$14:$E$142,4,FALSE))))</f>
      </c>
      <c r="F19" s="851"/>
      <c r="G19" s="851"/>
      <c r="H19" s="851"/>
      <c r="I19" s="851"/>
      <c r="J19" s="851"/>
      <c r="K19" s="851"/>
      <c r="L19" s="851"/>
      <c r="M19" s="851"/>
      <c r="N19" s="852"/>
      <c r="O19" s="92"/>
      <c r="P19" s="96"/>
      <c r="Q19" s="94"/>
      <c r="R19" s="344">
        <f>IF($R$11="","",IF(VLOOKUP(U19,Mannschaften!$B$14:$E$142,2,FALSE)=0,"",(VLOOKUP(U19,Mannschaften!$B$14:$E$142,2,FALSE))))</f>
      </c>
      <c r="S19" s="345">
        <f>IF($R$11="","",IF(VLOOKUP(U19,Mannschaften!$B$14:$E$142,3,FALSE)=0,"",(VLOOKUP(U19,Mannschaften!$B$14:$E$142,3,FALSE))))</f>
      </c>
      <c r="T19" s="97"/>
      <c r="U19" s="312">
        <f t="shared" si="2"/>
        <v>27</v>
      </c>
      <c r="V19" s="850">
        <f>IF($R$11="","",IF(VLOOKUP(U19,Mannschaften!$B$14:$E$142,4,FALSE)=0,"",(VLOOKUP(U19,Mannschaften!$B$14:$E$142,4,FALSE))))</f>
      </c>
      <c r="W19" s="851"/>
      <c r="X19" s="851"/>
      <c r="Y19" s="851"/>
      <c r="Z19" s="851"/>
      <c r="AA19" s="851"/>
      <c r="AB19" s="851"/>
      <c r="AC19" s="851"/>
      <c r="AD19" s="851"/>
      <c r="AE19" s="852"/>
      <c r="AF19" s="92"/>
      <c r="AG19" s="96"/>
      <c r="AH19" s="94"/>
      <c r="AM19" s="511"/>
      <c r="AN19" s="511"/>
      <c r="AO19" s="511"/>
      <c r="AP19" s="511"/>
      <c r="AQ19" s="511"/>
      <c r="AR19" s="511"/>
      <c r="AS19" s="511"/>
    </row>
    <row r="20" spans="1:45" s="184" customFormat="1" ht="18" customHeight="1">
      <c r="A20" s="344">
        <f>IF($A$11="","",IF(VLOOKUP(D20,Mannschaften!$B$14:$E$142,2,FALSE)=0,"",(VLOOKUP(D20,Mannschaften!$B$14:$E$142,2,FALSE))))</f>
      </c>
      <c r="B20" s="345">
        <f>IF($A$11="","",IF(VLOOKUP(D20,Mannschaften!$B$14:$E$142,3,FALSE)=0,"",(VLOOKUP(D20,Mannschaften!$B$14:$E$142,3,FALSE))))</f>
      </c>
      <c r="C20" s="97"/>
      <c r="D20" s="312">
        <f t="shared" si="1"/>
        <v>16</v>
      </c>
      <c r="E20" s="850">
        <f>IF($A$11="","",IF(VLOOKUP(D20,Mannschaften!$B$14:$E$142,4,FALSE)=0,"",(VLOOKUP(D20,Mannschaften!$B$14:$E$142,4,FALSE))))</f>
      </c>
      <c r="F20" s="851"/>
      <c r="G20" s="851"/>
      <c r="H20" s="851"/>
      <c r="I20" s="851"/>
      <c r="J20" s="851"/>
      <c r="K20" s="851"/>
      <c r="L20" s="851"/>
      <c r="M20" s="851"/>
      <c r="N20" s="852"/>
      <c r="O20" s="92"/>
      <c r="P20" s="96"/>
      <c r="Q20" s="94"/>
      <c r="R20" s="344">
        <f>IF($R$11="","",IF(VLOOKUP(U20,Mannschaften!$B$14:$E$142,2,FALSE)=0,"",(VLOOKUP(U20,Mannschaften!$B$14:$E$142,2,FALSE))))</f>
      </c>
      <c r="S20" s="345">
        <f>IF($R$11="","",IF(VLOOKUP(U20,Mannschaften!$B$14:$E$142,3,FALSE)=0,"",(VLOOKUP(U20,Mannschaften!$B$14:$E$142,3,FALSE))))</f>
      </c>
      <c r="T20" s="97"/>
      <c r="U20" s="312">
        <f t="shared" si="2"/>
        <v>28</v>
      </c>
      <c r="V20" s="850">
        <f>IF($R$11="","",IF(VLOOKUP(U20,Mannschaften!$B$14:$E$142,4,FALSE)=0,"",(VLOOKUP(U20,Mannschaften!$B$14:$E$142,4,FALSE))))</f>
      </c>
      <c r="W20" s="851"/>
      <c r="X20" s="851"/>
      <c r="Y20" s="851"/>
      <c r="Z20" s="851"/>
      <c r="AA20" s="851"/>
      <c r="AB20" s="851"/>
      <c r="AC20" s="851"/>
      <c r="AD20" s="851"/>
      <c r="AE20" s="852"/>
      <c r="AF20" s="92"/>
      <c r="AG20" s="96"/>
      <c r="AH20" s="94"/>
      <c r="AM20" s="511"/>
      <c r="AN20" s="511"/>
      <c r="AO20" s="511"/>
      <c r="AP20" s="511"/>
      <c r="AQ20" s="511"/>
      <c r="AR20" s="511"/>
      <c r="AS20" s="511"/>
    </row>
    <row r="21" spans="1:45" s="184" customFormat="1" ht="18" customHeight="1">
      <c r="A21" s="344">
        <f>IF($A$11="","",IF(VLOOKUP(D21,Mannschaften!$B$14:$E$142,2,FALSE)=0,"",(VLOOKUP(D21,Mannschaften!$B$14:$E$142,2,FALSE))))</f>
      </c>
      <c r="B21" s="345">
        <f>IF($A$11="","",IF(VLOOKUP(D21,Mannschaften!$B$14:$E$142,3,FALSE)=0,"",(VLOOKUP(D21,Mannschaften!$B$14:$E$142,3,FALSE))))</f>
      </c>
      <c r="C21" s="97"/>
      <c r="D21" s="312">
        <f t="shared" si="1"/>
        <v>17</v>
      </c>
      <c r="E21" s="850">
        <f>IF($A$11="","",IF(VLOOKUP(D21,Mannschaften!$B$14:$E$142,4,FALSE)=0,"",(VLOOKUP(D21,Mannschaften!$B$14:$E$142,4,FALSE))))</f>
      </c>
      <c r="F21" s="851"/>
      <c r="G21" s="851"/>
      <c r="H21" s="851"/>
      <c r="I21" s="851"/>
      <c r="J21" s="851"/>
      <c r="K21" s="851"/>
      <c r="L21" s="851"/>
      <c r="M21" s="851"/>
      <c r="N21" s="852"/>
      <c r="O21" s="92"/>
      <c r="P21" s="96"/>
      <c r="Q21" s="94"/>
      <c r="R21" s="344">
        <f>IF($R$11="","",IF(VLOOKUP(U21,Mannschaften!$B$14:$E$142,2,FALSE)=0,"",(VLOOKUP(U21,Mannschaften!$B$14:$E$142,2,FALSE))))</f>
      </c>
      <c r="S21" s="345">
        <f>IF($R$11="","",IF(VLOOKUP(U21,Mannschaften!$B$14:$E$142,3,FALSE)=0,"",(VLOOKUP(U21,Mannschaften!$B$14:$E$142,3,FALSE))))</f>
      </c>
      <c r="T21" s="97"/>
      <c r="U21" s="312">
        <f t="shared" si="2"/>
        <v>29</v>
      </c>
      <c r="V21" s="850">
        <f>IF($R$11="","",IF(VLOOKUP(U21,Mannschaften!$B$14:$E$142,4,FALSE)=0,"",(VLOOKUP(U21,Mannschaften!$B$14:$E$142,4,FALSE))))</f>
      </c>
      <c r="W21" s="851"/>
      <c r="X21" s="851"/>
      <c r="Y21" s="851"/>
      <c r="Z21" s="851"/>
      <c r="AA21" s="851"/>
      <c r="AB21" s="851"/>
      <c r="AC21" s="851"/>
      <c r="AD21" s="851"/>
      <c r="AE21" s="852"/>
      <c r="AF21" s="92"/>
      <c r="AG21" s="96"/>
      <c r="AH21" s="94"/>
      <c r="AM21" s="511"/>
      <c r="AN21" s="511"/>
      <c r="AO21" s="511"/>
      <c r="AP21" s="511"/>
      <c r="AQ21" s="511"/>
      <c r="AR21" s="511"/>
      <c r="AS21" s="511"/>
    </row>
    <row r="22" spans="1:45" s="184" customFormat="1" ht="18" customHeight="1">
      <c r="A22" s="344">
        <f>IF($A$11="","",IF(VLOOKUP(D22,Mannschaften!$B$14:$E$142,2,FALSE)=0,"",(VLOOKUP(D22,Mannschaften!$B$14:$E$142,2,FALSE))))</f>
      </c>
      <c r="B22" s="345">
        <f>IF($A$11="","",IF(VLOOKUP(D22,Mannschaften!$B$14:$E$142,3,FALSE)=0,"",(VLOOKUP(D22,Mannschaften!$B$14:$E$142,3,FALSE))))</f>
      </c>
      <c r="C22" s="97"/>
      <c r="D22" s="312">
        <f t="shared" si="1"/>
        <v>18</v>
      </c>
      <c r="E22" s="850">
        <f>IF($A$11="","",IF(VLOOKUP(D22,Mannschaften!$B$14:$E$142,4,FALSE)=0,"",(VLOOKUP(D22,Mannschaften!$B$14:$E$142,4,FALSE))))</f>
      </c>
      <c r="F22" s="851"/>
      <c r="G22" s="851"/>
      <c r="H22" s="851"/>
      <c r="I22" s="851"/>
      <c r="J22" s="851"/>
      <c r="K22" s="851"/>
      <c r="L22" s="851"/>
      <c r="M22" s="851"/>
      <c r="N22" s="852"/>
      <c r="O22" s="92"/>
      <c r="P22" s="100"/>
      <c r="Q22" s="101"/>
      <c r="R22" s="344">
        <f>IF($R$11="","",IF(VLOOKUP(U22,Mannschaften!$B$14:$E$142,2,FALSE)=0,"",(VLOOKUP(U22,Mannschaften!$B$14:$E$142,2,FALSE))))</f>
      </c>
      <c r="S22" s="345">
        <f>IF($R$11="","",IF(VLOOKUP(U22,Mannschaften!$B$14:$E$142,3,FALSE)=0,"",(VLOOKUP(U22,Mannschaften!$B$14:$E$142,3,FALSE))))</f>
      </c>
      <c r="T22" s="97"/>
      <c r="U22" s="312">
        <f t="shared" si="2"/>
        <v>30</v>
      </c>
      <c r="V22" s="850">
        <f>IF($R$11="","",IF(VLOOKUP(U22,Mannschaften!$B$14:$E$142,4,FALSE)=0,"",(VLOOKUP(U22,Mannschaften!$B$14:$E$142,4,FALSE))))</f>
      </c>
      <c r="W22" s="851"/>
      <c r="X22" s="851"/>
      <c r="Y22" s="851"/>
      <c r="Z22" s="851"/>
      <c r="AA22" s="851"/>
      <c r="AB22" s="851"/>
      <c r="AC22" s="851"/>
      <c r="AD22" s="851"/>
      <c r="AE22" s="852"/>
      <c r="AF22" s="92"/>
      <c r="AG22" s="100"/>
      <c r="AH22" s="101"/>
      <c r="AM22" s="511"/>
      <c r="AN22" s="511"/>
      <c r="AO22" s="511"/>
      <c r="AP22" s="511"/>
      <c r="AQ22" s="511"/>
      <c r="AR22" s="511"/>
      <c r="AS22" s="511"/>
    </row>
    <row r="23" spans="1:45" s="184" customFormat="1" ht="18" customHeight="1" thickBot="1">
      <c r="A23" s="346">
        <f>IF($A$11="","",IF(VLOOKUP(D23,Mannschaften!$B$14:$E$142,2,FALSE)=0,"",(VLOOKUP(D23,Mannschaften!$B$14:$E$142,2,FALSE))))</f>
      </c>
      <c r="B23" s="347">
        <f>IF($A$11="","",IF(VLOOKUP(D23,Mannschaften!$B$14:$E$142,3,FALSE)=0,"",(VLOOKUP(D23,Mannschaften!$B$14:$E$142,3,FALSE))))</f>
      </c>
      <c r="C23" s="102"/>
      <c r="D23" s="315">
        <f t="shared" si="1"/>
        <v>19</v>
      </c>
      <c r="E23" s="891">
        <f>IF($A$11="","",IF(VLOOKUP(D23,Mannschaften!$B$14:$E$142,4,FALSE)=0,"",(VLOOKUP(D23,Mannschaften!$B$14:$E$142,4,FALSE))))</f>
      </c>
      <c r="F23" s="892"/>
      <c r="G23" s="892"/>
      <c r="H23" s="892"/>
      <c r="I23" s="892"/>
      <c r="J23" s="892"/>
      <c r="K23" s="892"/>
      <c r="L23" s="892"/>
      <c r="M23" s="892"/>
      <c r="N23" s="893"/>
      <c r="O23" s="103"/>
      <c r="P23" s="104"/>
      <c r="Q23" s="105"/>
      <c r="R23" s="346">
        <f>IF($R$11="","",IF(VLOOKUP(U23,Mannschaften!$B$14:$E$142,2,FALSE)=0,"",(VLOOKUP(U23,Mannschaften!$B$14:$E$142,2,FALSE))))</f>
      </c>
      <c r="S23" s="347">
        <f>IF($R$11="","",IF(VLOOKUP(U23,Mannschaften!$B$14:$E$142,3,FALSE)=0,"",(VLOOKUP(U23,Mannschaften!$B$14:$E$142,3,FALSE))))</f>
      </c>
      <c r="T23" s="102"/>
      <c r="U23" s="315">
        <f t="shared" si="2"/>
        <v>31</v>
      </c>
      <c r="V23" s="891">
        <f>IF($R$11="","",IF(VLOOKUP(U23,Mannschaften!$B$14:$E$142,4,FALSE)=0,"",(VLOOKUP(U23,Mannschaften!$B$14:$E$142,4,FALSE))))</f>
      </c>
      <c r="W23" s="892"/>
      <c r="X23" s="892"/>
      <c r="Y23" s="892"/>
      <c r="Z23" s="892"/>
      <c r="AA23" s="892"/>
      <c r="AB23" s="892"/>
      <c r="AC23" s="892"/>
      <c r="AD23" s="892"/>
      <c r="AE23" s="893"/>
      <c r="AF23" s="103"/>
      <c r="AG23" s="104"/>
      <c r="AH23" s="105"/>
      <c r="AM23" s="511"/>
      <c r="AN23" s="511"/>
      <c r="AO23" s="511"/>
      <c r="AP23" s="511"/>
      <c r="AQ23" s="511"/>
      <c r="AR23" s="511"/>
      <c r="AS23" s="511"/>
    </row>
    <row r="24" spans="1:45" s="184" customFormat="1" ht="18" customHeight="1" thickTop="1">
      <c r="A24" s="348" t="s">
        <v>21</v>
      </c>
      <c r="B24" s="349"/>
      <c r="C24" s="350"/>
      <c r="D24" s="306">
        <f t="shared" si="1"/>
        <v>20</v>
      </c>
      <c r="E24" s="894">
        <f>IF($A$11="","",IF(VLOOKUP(D24,Mannschaften!$B$14:$E$142,4,FALSE)=0,"",(VLOOKUP(D24,Mannschaften!$B$14:$E$142,4,FALSE))))</f>
      </c>
      <c r="F24" s="895"/>
      <c r="G24" s="895"/>
      <c r="H24" s="895"/>
      <c r="I24" s="895"/>
      <c r="J24" s="895"/>
      <c r="K24" s="895"/>
      <c r="L24" s="895"/>
      <c r="M24" s="895"/>
      <c r="N24" s="896"/>
      <c r="O24" s="88"/>
      <c r="P24" s="106"/>
      <c r="Q24" s="107"/>
      <c r="R24" s="348" t="s">
        <v>21</v>
      </c>
      <c r="S24" s="349"/>
      <c r="T24" s="350"/>
      <c r="U24" s="306">
        <f t="shared" si="2"/>
        <v>32</v>
      </c>
      <c r="V24" s="894">
        <f>IF($R$11="","",IF(VLOOKUP(U24,Mannschaften!$B$14:$E$142,4,FALSE)=0,"",(VLOOKUP(U24,Mannschaften!$B$14:$E$142,4,FALSE))))</f>
      </c>
      <c r="W24" s="895"/>
      <c r="X24" s="895"/>
      <c r="Y24" s="895"/>
      <c r="Z24" s="895"/>
      <c r="AA24" s="895"/>
      <c r="AB24" s="895"/>
      <c r="AC24" s="895"/>
      <c r="AD24" s="895"/>
      <c r="AE24" s="896"/>
      <c r="AF24" s="88"/>
      <c r="AG24" s="106"/>
      <c r="AH24" s="107"/>
      <c r="AM24" s="511"/>
      <c r="AN24" s="511"/>
      <c r="AO24" s="511"/>
      <c r="AP24" s="511"/>
      <c r="AQ24" s="511"/>
      <c r="AR24" s="511"/>
      <c r="AS24" s="511"/>
    </row>
    <row r="25" spans="1:45" s="184" customFormat="1" ht="18" customHeight="1" thickBot="1">
      <c r="A25" s="351" t="s">
        <v>22</v>
      </c>
      <c r="B25" s="352"/>
      <c r="C25" s="353"/>
      <c r="D25" s="314">
        <f t="shared" si="1"/>
        <v>21</v>
      </c>
      <c r="E25" s="897">
        <f>IF($A$11="","",IF(VLOOKUP(D25,Mannschaften!$B$14:$E$142,4,FALSE)=0,"",(VLOOKUP(D25,Mannschaften!$B$14:$E$142,4,FALSE))))</f>
      </c>
      <c r="F25" s="898"/>
      <c r="G25" s="898"/>
      <c r="H25" s="898"/>
      <c r="I25" s="898"/>
      <c r="J25" s="898"/>
      <c r="K25" s="898"/>
      <c r="L25" s="898"/>
      <c r="M25" s="898"/>
      <c r="N25" s="899"/>
      <c r="O25" s="108"/>
      <c r="P25" s="109"/>
      <c r="Q25" s="110"/>
      <c r="R25" s="351" t="s">
        <v>22</v>
      </c>
      <c r="S25" s="352"/>
      <c r="T25" s="353"/>
      <c r="U25" s="314">
        <f t="shared" si="2"/>
        <v>33</v>
      </c>
      <c r="V25" s="897">
        <f>IF($R$11="","",IF(VLOOKUP(U25,Mannschaften!$B$14:$E$142,4,FALSE)=0,"",(VLOOKUP(U25,Mannschaften!$B$14:$E$142,4,FALSE))))</f>
      </c>
      <c r="W25" s="898"/>
      <c r="X25" s="898"/>
      <c r="Y25" s="898"/>
      <c r="Z25" s="898"/>
      <c r="AA25" s="898"/>
      <c r="AB25" s="898"/>
      <c r="AC25" s="898"/>
      <c r="AD25" s="898"/>
      <c r="AE25" s="899"/>
      <c r="AF25" s="108"/>
      <c r="AG25" s="109"/>
      <c r="AH25" s="110"/>
      <c r="AM25" s="511"/>
      <c r="AN25" s="511"/>
      <c r="AO25" s="511"/>
      <c r="AP25" s="511"/>
      <c r="AQ25" s="511"/>
      <c r="AR25" s="511"/>
      <c r="AS25" s="511"/>
    </row>
    <row r="26" spans="1:45" s="184" customFormat="1" ht="18" customHeight="1" thickBot="1" thickTop="1">
      <c r="A26" s="111" t="s">
        <v>23</v>
      </c>
      <c r="B26" s="112"/>
      <c r="C26" s="113"/>
      <c r="D26" s="114"/>
      <c r="E26" s="113"/>
      <c r="F26" s="113"/>
      <c r="G26" s="85"/>
      <c r="H26" s="115" t="s">
        <v>25</v>
      </c>
      <c r="I26" s="116"/>
      <c r="J26" s="117" t="s">
        <v>24</v>
      </c>
      <c r="K26" s="118"/>
      <c r="L26" s="900" t="s">
        <v>131</v>
      </c>
      <c r="M26" s="901"/>
      <c r="N26" s="901"/>
      <c r="O26" s="115" t="s">
        <v>25</v>
      </c>
      <c r="P26" s="116"/>
      <c r="Q26" s="117" t="s">
        <v>24</v>
      </c>
      <c r="R26" s="118"/>
      <c r="S26" s="841" t="s">
        <v>173</v>
      </c>
      <c r="T26" s="842"/>
      <c r="U26" s="842"/>
      <c r="V26" s="842"/>
      <c r="W26" s="842"/>
      <c r="X26" s="842"/>
      <c r="Y26" s="843"/>
      <c r="Z26" s="843"/>
      <c r="AA26" s="843"/>
      <c r="AB26" s="843"/>
      <c r="AC26" s="843"/>
      <c r="AD26" s="843"/>
      <c r="AE26" s="843"/>
      <c r="AF26" s="843"/>
      <c r="AG26" s="843"/>
      <c r="AH26" s="844"/>
      <c r="AM26" s="511"/>
      <c r="AN26" s="511"/>
      <c r="AO26" s="511"/>
      <c r="AP26" s="511"/>
      <c r="AQ26" s="511"/>
      <c r="AR26" s="511"/>
      <c r="AS26" s="511"/>
    </row>
    <row r="27" spans="1:34" ht="18" customHeight="1">
      <c r="A27" s="905" t="s">
        <v>140</v>
      </c>
      <c r="B27" s="364"/>
      <c r="C27" s="271" t="s">
        <v>25</v>
      </c>
      <c r="D27" s="119"/>
      <c r="E27" s="358"/>
      <c r="F27" s="120"/>
      <c r="G27" s="120"/>
      <c r="H27" s="120"/>
      <c r="I27" s="121"/>
      <c r="J27" s="122"/>
      <c r="K27" s="120"/>
      <c r="L27" s="120"/>
      <c r="M27" s="120"/>
      <c r="N27" s="121"/>
      <c r="O27" s="122"/>
      <c r="P27" s="120"/>
      <c r="Q27" s="120"/>
      <c r="R27" s="120"/>
      <c r="S27" s="121"/>
      <c r="T27" s="122"/>
      <c r="U27" s="355"/>
      <c r="V27" s="120"/>
      <c r="W27" s="120"/>
      <c r="X27" s="120"/>
      <c r="Y27" s="123"/>
      <c r="Z27" s="122"/>
      <c r="AA27" s="120"/>
      <c r="AB27" s="120"/>
      <c r="AC27" s="120"/>
      <c r="AD27" s="121"/>
      <c r="AE27" s="122"/>
      <c r="AF27" s="120"/>
      <c r="AG27" s="120"/>
      <c r="AH27" s="359"/>
    </row>
    <row r="28" spans="1:34" ht="18" customHeight="1" thickBot="1">
      <c r="A28" s="906"/>
      <c r="B28" s="365"/>
      <c r="C28" s="274" t="s">
        <v>24</v>
      </c>
      <c r="D28" s="124"/>
      <c r="E28" s="360"/>
      <c r="F28" s="125"/>
      <c r="G28" s="125"/>
      <c r="H28" s="125"/>
      <c r="I28" s="126"/>
      <c r="J28" s="127"/>
      <c r="K28" s="125"/>
      <c r="L28" s="125"/>
      <c r="M28" s="125"/>
      <c r="N28" s="126"/>
      <c r="O28" s="127"/>
      <c r="P28" s="125"/>
      <c r="Q28" s="125"/>
      <c r="R28" s="125"/>
      <c r="S28" s="126"/>
      <c r="T28" s="127"/>
      <c r="U28" s="356"/>
      <c r="V28" s="125"/>
      <c r="W28" s="125"/>
      <c r="X28" s="125"/>
      <c r="Y28" s="128"/>
      <c r="Z28" s="127"/>
      <c r="AA28" s="125"/>
      <c r="AB28" s="125"/>
      <c r="AC28" s="125"/>
      <c r="AD28" s="126"/>
      <c r="AE28" s="127"/>
      <c r="AF28" s="125"/>
      <c r="AG28" s="125"/>
      <c r="AH28" s="361"/>
    </row>
    <row r="29" spans="1:34" ht="18" customHeight="1">
      <c r="A29" s="905" t="s">
        <v>132</v>
      </c>
      <c r="B29" s="364"/>
      <c r="C29" s="271" t="s">
        <v>25</v>
      </c>
      <c r="D29" s="119"/>
      <c r="E29" s="358"/>
      <c r="F29" s="120"/>
      <c r="G29" s="120"/>
      <c r="H29" s="120"/>
      <c r="I29" s="121"/>
      <c r="J29" s="122"/>
      <c r="K29" s="120"/>
      <c r="L29" s="120"/>
      <c r="M29" s="120"/>
      <c r="N29" s="121"/>
      <c r="O29" s="122"/>
      <c r="P29" s="120"/>
      <c r="Q29" s="120"/>
      <c r="R29" s="120"/>
      <c r="S29" s="121"/>
      <c r="T29" s="122"/>
      <c r="U29" s="355"/>
      <c r="V29" s="120"/>
      <c r="W29" s="120"/>
      <c r="X29" s="120"/>
      <c r="Y29" s="123"/>
      <c r="Z29" s="122"/>
      <c r="AA29" s="120"/>
      <c r="AB29" s="120"/>
      <c r="AC29" s="120"/>
      <c r="AD29" s="121"/>
      <c r="AE29" s="122"/>
      <c r="AF29" s="120"/>
      <c r="AG29" s="120"/>
      <c r="AH29" s="359"/>
    </row>
    <row r="30" spans="1:34" ht="18" customHeight="1" thickBot="1">
      <c r="A30" s="906"/>
      <c r="B30" s="365"/>
      <c r="C30" s="274" t="s">
        <v>24</v>
      </c>
      <c r="D30" s="124"/>
      <c r="E30" s="360"/>
      <c r="F30" s="125"/>
      <c r="G30" s="125"/>
      <c r="H30" s="125"/>
      <c r="I30" s="126"/>
      <c r="J30" s="127"/>
      <c r="K30" s="125"/>
      <c r="L30" s="125"/>
      <c r="M30" s="125"/>
      <c r="N30" s="126"/>
      <c r="O30" s="127"/>
      <c r="P30" s="125"/>
      <c r="Q30" s="125"/>
      <c r="R30" s="125"/>
      <c r="S30" s="126"/>
      <c r="T30" s="127"/>
      <c r="U30" s="356"/>
      <c r="V30" s="125"/>
      <c r="W30" s="125"/>
      <c r="X30" s="125"/>
      <c r="Y30" s="128"/>
      <c r="Z30" s="127"/>
      <c r="AA30" s="125"/>
      <c r="AB30" s="125"/>
      <c r="AC30" s="125"/>
      <c r="AD30" s="126"/>
      <c r="AE30" s="127"/>
      <c r="AF30" s="125"/>
      <c r="AG30" s="125"/>
      <c r="AH30" s="361"/>
    </row>
    <row r="31" spans="1:34" ht="18" customHeight="1">
      <c r="A31" s="905" t="s">
        <v>133</v>
      </c>
      <c r="B31" s="364"/>
      <c r="C31" s="271" t="s">
        <v>25</v>
      </c>
      <c r="D31" s="119"/>
      <c r="E31" s="358"/>
      <c r="F31" s="120"/>
      <c r="G31" s="120"/>
      <c r="H31" s="120"/>
      <c r="I31" s="121"/>
      <c r="J31" s="122"/>
      <c r="K31" s="120"/>
      <c r="L31" s="120"/>
      <c r="M31" s="120"/>
      <c r="N31" s="121"/>
      <c r="O31" s="122"/>
      <c r="P31" s="120"/>
      <c r="Q31" s="120"/>
      <c r="R31" s="120"/>
      <c r="S31" s="121"/>
      <c r="T31" s="122"/>
      <c r="U31" s="355"/>
      <c r="V31" s="120"/>
      <c r="W31" s="120"/>
      <c r="X31" s="120"/>
      <c r="Y31" s="123"/>
      <c r="Z31" s="122"/>
      <c r="AA31" s="120"/>
      <c r="AB31" s="120"/>
      <c r="AC31" s="120"/>
      <c r="AD31" s="121"/>
      <c r="AE31" s="122"/>
      <c r="AF31" s="120"/>
      <c r="AG31" s="120"/>
      <c r="AH31" s="359"/>
    </row>
    <row r="32" spans="1:34" ht="18" customHeight="1" thickBot="1">
      <c r="A32" s="906"/>
      <c r="B32" s="365"/>
      <c r="C32" s="366" t="s">
        <v>24</v>
      </c>
      <c r="D32" s="86"/>
      <c r="E32" s="362"/>
      <c r="F32" s="129"/>
      <c r="G32" s="129"/>
      <c r="H32" s="129"/>
      <c r="I32" s="130"/>
      <c r="J32" s="131"/>
      <c r="K32" s="129"/>
      <c r="L32" s="129"/>
      <c r="M32" s="129"/>
      <c r="N32" s="130"/>
      <c r="O32" s="131"/>
      <c r="P32" s="129"/>
      <c r="Q32" s="129"/>
      <c r="R32" s="129"/>
      <c r="S32" s="130"/>
      <c r="T32" s="131"/>
      <c r="U32" s="357"/>
      <c r="V32" s="129"/>
      <c r="W32" s="129"/>
      <c r="X32" s="129"/>
      <c r="Y32" s="132"/>
      <c r="Z32" s="131"/>
      <c r="AA32" s="129"/>
      <c r="AB32" s="129"/>
      <c r="AC32" s="129"/>
      <c r="AD32" s="130"/>
      <c r="AE32" s="131"/>
      <c r="AF32" s="129"/>
      <c r="AG32" s="129"/>
      <c r="AH32" s="363"/>
    </row>
    <row r="33" spans="1:34" ht="16.5" customHeight="1">
      <c r="A33" s="133"/>
      <c r="B33" s="903"/>
      <c r="C33" s="134"/>
      <c r="D33" s="119"/>
      <c r="E33" s="119"/>
      <c r="F33" s="119"/>
      <c r="G33" s="119"/>
      <c r="H33" s="135"/>
      <c r="I33" s="830" t="s">
        <v>140</v>
      </c>
      <c r="J33" s="831"/>
      <c r="K33" s="831"/>
      <c r="L33" s="831"/>
      <c r="M33" s="832"/>
      <c r="N33" s="830" t="s">
        <v>132</v>
      </c>
      <c r="O33" s="831"/>
      <c r="P33" s="831"/>
      <c r="Q33" s="831"/>
      <c r="R33" s="832"/>
      <c r="S33" s="830" t="s">
        <v>133</v>
      </c>
      <c r="T33" s="831"/>
      <c r="U33" s="831"/>
      <c r="V33" s="831"/>
      <c r="W33" s="831"/>
      <c r="X33" s="832"/>
      <c r="Y33" s="830" t="s">
        <v>134</v>
      </c>
      <c r="Z33" s="831"/>
      <c r="AA33" s="831"/>
      <c r="AB33" s="831"/>
      <c r="AC33" s="832"/>
      <c r="AD33" s="830" t="s">
        <v>35</v>
      </c>
      <c r="AE33" s="831"/>
      <c r="AF33" s="831"/>
      <c r="AG33" s="831"/>
      <c r="AH33" s="849"/>
    </row>
    <row r="34" spans="1:34" ht="18" customHeight="1" thickBot="1">
      <c r="A34" s="136"/>
      <c r="B34" s="904"/>
      <c r="C34" s="827" t="s">
        <v>122</v>
      </c>
      <c r="D34" s="828"/>
      <c r="E34" s="828"/>
      <c r="F34" s="828"/>
      <c r="G34" s="828"/>
      <c r="H34" s="829"/>
      <c r="I34" s="826"/>
      <c r="J34" s="824"/>
      <c r="K34" s="137" t="s">
        <v>7</v>
      </c>
      <c r="L34" s="824"/>
      <c r="M34" s="825"/>
      <c r="N34" s="826"/>
      <c r="O34" s="824"/>
      <c r="P34" s="137" t="s">
        <v>7</v>
      </c>
      <c r="Q34" s="824"/>
      <c r="R34" s="825"/>
      <c r="S34" s="826"/>
      <c r="T34" s="824"/>
      <c r="U34" s="26"/>
      <c r="V34" s="137" t="s">
        <v>7</v>
      </c>
      <c r="W34" s="824"/>
      <c r="X34" s="825"/>
      <c r="Y34" s="826"/>
      <c r="Z34" s="824"/>
      <c r="AA34" s="137" t="s">
        <v>7</v>
      </c>
      <c r="AB34" s="824"/>
      <c r="AC34" s="825"/>
      <c r="AD34" s="826"/>
      <c r="AE34" s="824"/>
      <c r="AF34" s="137" t="s">
        <v>7</v>
      </c>
      <c r="AG34" s="824"/>
      <c r="AH34" s="847"/>
    </row>
    <row r="35" spans="1:34" ht="19.5" customHeight="1">
      <c r="A35" s="136"/>
      <c r="B35" s="904"/>
      <c r="C35" s="822" t="s">
        <v>27</v>
      </c>
      <c r="D35" s="822"/>
      <c r="E35" s="822"/>
      <c r="F35" s="822"/>
      <c r="G35" s="822"/>
      <c r="H35" s="822"/>
      <c r="I35" s="835"/>
      <c r="J35" s="836"/>
      <c r="K35" s="836"/>
      <c r="L35" s="836"/>
      <c r="M35" s="836"/>
      <c r="N35" s="836"/>
      <c r="O35" s="836"/>
      <c r="P35" s="836"/>
      <c r="Q35" s="836"/>
      <c r="R35" s="836"/>
      <c r="S35" s="836"/>
      <c r="T35" s="836"/>
      <c r="U35" s="836"/>
      <c r="V35" s="836"/>
      <c r="W35" s="836"/>
      <c r="X35" s="837"/>
      <c r="Y35" s="830" t="s">
        <v>34</v>
      </c>
      <c r="Z35" s="831"/>
      <c r="AA35" s="831"/>
      <c r="AB35" s="831"/>
      <c r="AC35" s="832"/>
      <c r="AD35" s="830" t="s">
        <v>174</v>
      </c>
      <c r="AE35" s="831"/>
      <c r="AF35" s="831"/>
      <c r="AG35" s="831"/>
      <c r="AH35" s="849"/>
    </row>
    <row r="36" spans="1:34" ht="19.5" customHeight="1" thickBot="1">
      <c r="A36" s="138"/>
      <c r="B36" s="904"/>
      <c r="C36" s="823"/>
      <c r="D36" s="823"/>
      <c r="E36" s="823"/>
      <c r="F36" s="823"/>
      <c r="G36" s="823"/>
      <c r="H36" s="823"/>
      <c r="I36" s="838"/>
      <c r="J36" s="839"/>
      <c r="K36" s="839"/>
      <c r="L36" s="839"/>
      <c r="M36" s="839"/>
      <c r="N36" s="839"/>
      <c r="O36" s="839"/>
      <c r="P36" s="839"/>
      <c r="Q36" s="839"/>
      <c r="R36" s="839"/>
      <c r="S36" s="839"/>
      <c r="T36" s="839"/>
      <c r="U36" s="839"/>
      <c r="V36" s="839"/>
      <c r="W36" s="839"/>
      <c r="X36" s="840"/>
      <c r="Y36" s="833"/>
      <c r="Z36" s="834"/>
      <c r="AA36" s="354" t="s">
        <v>7</v>
      </c>
      <c r="AB36" s="834"/>
      <c r="AC36" s="902"/>
      <c r="AD36" s="848"/>
      <c r="AE36" s="834"/>
      <c r="AF36" s="834"/>
      <c r="AG36" s="845" t="s">
        <v>12</v>
      </c>
      <c r="AH36" s="846"/>
    </row>
    <row r="37" spans="1:34" ht="18" customHeight="1" thickBot="1" thickTop="1">
      <c r="A37" s="888" t="s">
        <v>28</v>
      </c>
      <c r="B37" s="889"/>
      <c r="C37" s="889"/>
      <c r="D37" s="889"/>
      <c r="E37" s="889"/>
      <c r="F37" s="889"/>
      <c r="G37" s="889"/>
      <c r="H37" s="889"/>
      <c r="I37" s="889"/>
      <c r="J37" s="889"/>
      <c r="K37" s="889"/>
      <c r="L37" s="889"/>
      <c r="M37" s="889"/>
      <c r="N37" s="889"/>
      <c r="O37" s="889"/>
      <c r="P37" s="889"/>
      <c r="Q37" s="889"/>
      <c r="R37" s="889"/>
      <c r="S37" s="889"/>
      <c r="T37" s="889"/>
      <c r="U37" s="889"/>
      <c r="V37" s="889"/>
      <c r="W37" s="889"/>
      <c r="X37" s="889"/>
      <c r="Y37" s="889"/>
      <c r="Z37" s="889"/>
      <c r="AA37" s="889"/>
      <c r="AB37" s="889"/>
      <c r="AC37" s="889"/>
      <c r="AD37" s="889"/>
      <c r="AE37" s="889"/>
      <c r="AF37" s="889"/>
      <c r="AG37" s="889"/>
      <c r="AH37" s="890"/>
    </row>
    <row r="38" spans="1:34" ht="18" customHeight="1" thickBot="1">
      <c r="A38" s="367" t="s">
        <v>176</v>
      </c>
      <c r="B38" s="368"/>
      <c r="C38" s="368"/>
      <c r="D38" s="369"/>
      <c r="E38" s="368"/>
      <c r="F38" s="368"/>
      <c r="G38" s="370"/>
      <c r="H38" s="368"/>
      <c r="I38" s="368"/>
      <c r="J38" s="368"/>
      <c r="K38" s="368"/>
      <c r="L38" s="368"/>
      <c r="M38" s="368"/>
      <c r="N38" s="368"/>
      <c r="O38" s="368"/>
      <c r="P38" s="368"/>
      <c r="Q38" s="371"/>
      <c r="R38" s="372" t="s">
        <v>177</v>
      </c>
      <c r="S38" s="368"/>
      <c r="T38" s="368"/>
      <c r="U38" s="369"/>
      <c r="V38" s="368"/>
      <c r="W38" s="373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5"/>
    </row>
    <row r="39" spans="1:34" ht="18" customHeight="1" thickBot="1">
      <c r="A39" s="367" t="s">
        <v>14</v>
      </c>
      <c r="B39" s="368"/>
      <c r="C39" s="368"/>
      <c r="D39" s="369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71"/>
      <c r="R39" s="376" t="s">
        <v>11</v>
      </c>
      <c r="S39" s="368"/>
      <c r="T39" s="368"/>
      <c r="U39" s="369"/>
      <c r="V39" s="368"/>
      <c r="W39" s="377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78"/>
    </row>
    <row r="40" spans="1:34" ht="18" customHeight="1" thickBot="1">
      <c r="A40" s="379" t="s">
        <v>29</v>
      </c>
      <c r="B40" s="380"/>
      <c r="C40" s="380"/>
      <c r="D40" s="381"/>
      <c r="E40" s="380"/>
      <c r="F40" s="380"/>
      <c r="G40" s="380"/>
      <c r="H40" s="380"/>
      <c r="I40" s="380"/>
      <c r="J40" s="382" t="s">
        <v>30</v>
      </c>
      <c r="K40" s="383"/>
      <c r="L40" s="383"/>
      <c r="M40" s="383"/>
      <c r="N40" s="384"/>
      <c r="O40" s="380"/>
      <c r="P40" s="382" t="s">
        <v>31</v>
      </c>
      <c r="Q40" s="383"/>
      <c r="R40" s="383"/>
      <c r="S40" s="383"/>
      <c r="T40" s="384"/>
      <c r="U40" s="381"/>
      <c r="V40" s="380"/>
      <c r="W40" s="382" t="s">
        <v>32</v>
      </c>
      <c r="X40" s="383"/>
      <c r="Y40" s="383"/>
      <c r="Z40" s="383"/>
      <c r="AA40" s="383"/>
      <c r="AB40" s="384"/>
      <c r="AC40" s="380"/>
      <c r="AD40" s="382" t="s">
        <v>33</v>
      </c>
      <c r="AE40" s="383"/>
      <c r="AF40" s="383"/>
      <c r="AG40" s="384"/>
      <c r="AH40" s="385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7" t="s">
        <v>175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electLockedCells="1"/>
  <mergeCells count="80">
    <mergeCell ref="A29:A30"/>
    <mergeCell ref="A31:A32"/>
    <mergeCell ref="E23:N23"/>
    <mergeCell ref="A1:AC1"/>
    <mergeCell ref="A2:AC2"/>
    <mergeCell ref="G3:AC3"/>
    <mergeCell ref="G4:L4"/>
    <mergeCell ref="A11:N11"/>
    <mergeCell ref="F7:Q7"/>
    <mergeCell ref="A27:A28"/>
    <mergeCell ref="A37:AH37"/>
    <mergeCell ref="V22:AE22"/>
    <mergeCell ref="V23:AE23"/>
    <mergeCell ref="V24:AE24"/>
    <mergeCell ref="V25:AE25"/>
    <mergeCell ref="E25:N25"/>
    <mergeCell ref="L26:N26"/>
    <mergeCell ref="AB36:AC36"/>
    <mergeCell ref="E24:N24"/>
    <mergeCell ref="B33:B36"/>
    <mergeCell ref="AD33:AH33"/>
    <mergeCell ref="AP3:AP4"/>
    <mergeCell ref="F5:Q5"/>
    <mergeCell ref="AL3:AL4"/>
    <mergeCell ref="AM3:AM4"/>
    <mergeCell ref="AN3:AN4"/>
    <mergeCell ref="AO3:AO4"/>
    <mergeCell ref="W6:AA6"/>
    <mergeCell ref="W5:AC5"/>
    <mergeCell ref="E15:N15"/>
    <mergeCell ref="E20:N20"/>
    <mergeCell ref="E21:N21"/>
    <mergeCell ref="E22:N22"/>
    <mergeCell ref="E19:N19"/>
    <mergeCell ref="E16:N16"/>
    <mergeCell ref="E17:N17"/>
    <mergeCell ref="E18:N18"/>
    <mergeCell ref="F6:Q6"/>
    <mergeCell ref="V15:AE15"/>
    <mergeCell ref="AD8:AE8"/>
    <mergeCell ref="W7:Z7"/>
    <mergeCell ref="E14:N14"/>
    <mergeCell ref="AD7:AH7"/>
    <mergeCell ref="F8:Q8"/>
    <mergeCell ref="W8:X8"/>
    <mergeCell ref="R10:AE10"/>
    <mergeCell ref="R11:AE11"/>
    <mergeCell ref="V20:AE20"/>
    <mergeCell ref="V21:AE21"/>
    <mergeCell ref="V14:AE14"/>
    <mergeCell ref="F9:Q9"/>
    <mergeCell ref="W9:X9"/>
    <mergeCell ref="V19:AE19"/>
    <mergeCell ref="V16:AE16"/>
    <mergeCell ref="V17:AE17"/>
    <mergeCell ref="V18:AE18"/>
    <mergeCell ref="A10:N10"/>
    <mergeCell ref="S26:AH26"/>
    <mergeCell ref="AG36:AH36"/>
    <mergeCell ref="Y33:AC33"/>
    <mergeCell ref="W34:X34"/>
    <mergeCell ref="Y34:Z34"/>
    <mergeCell ref="AB34:AC34"/>
    <mergeCell ref="AD34:AE34"/>
    <mergeCell ref="AG34:AH34"/>
    <mergeCell ref="AD36:AF36"/>
    <mergeCell ref="AD35:AH35"/>
    <mergeCell ref="I33:M33"/>
    <mergeCell ref="N33:R33"/>
    <mergeCell ref="S33:X33"/>
    <mergeCell ref="I34:J34"/>
    <mergeCell ref="Y36:Z36"/>
    <mergeCell ref="I35:X36"/>
    <mergeCell ref="Y35:AC35"/>
    <mergeCell ref="C35:H36"/>
    <mergeCell ref="L34:M34"/>
    <mergeCell ref="N34:O34"/>
    <mergeCell ref="Q34:R34"/>
    <mergeCell ref="S34:T34"/>
    <mergeCell ref="C34:H34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R36"/>
  <sheetViews>
    <sheetView zoomScalePageLayoutView="0" workbookViewId="0" topLeftCell="A7">
      <selection activeCell="AR10" sqref="AR10:AR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67" hidden="1" customWidth="1"/>
    <col min="40" max="40" width="10.7109375" style="579" hidden="1" customWidth="1"/>
    <col min="41" max="42" width="15.7109375" style="567" hidden="1" customWidth="1"/>
    <col min="43" max="43" width="15.7109375" style="579" hidden="1" customWidth="1"/>
    <col min="44" max="44" width="9.140625" style="0" customWidth="1"/>
  </cols>
  <sheetData>
    <row r="1" spans="3:43" ht="30" customHeight="1">
      <c r="C1" s="678" t="s">
        <v>123</v>
      </c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32"/>
      <c r="AJ1" s="32"/>
      <c r="AK1" s="32"/>
      <c r="AL1" s="566"/>
      <c r="AM1" s="566"/>
      <c r="AN1" s="578"/>
      <c r="AO1" s="566"/>
      <c r="AP1" s="566"/>
      <c r="AQ1" s="578"/>
    </row>
    <row r="2" ht="8.25" customHeight="1"/>
    <row r="3" spans="3:43" ht="28.5" customHeight="1">
      <c r="C3" s="916" t="str">
        <f>IF(Mannschaften!D2="","",Mannschaften!D2)</f>
        <v> Deutsche Meisterschaft der Jugend  Feld   2019</v>
      </c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16"/>
      <c r="AI3" s="38"/>
      <c r="AJ3" s="38"/>
      <c r="AK3" s="38"/>
      <c r="AL3" s="568"/>
      <c r="AM3" s="568"/>
      <c r="AN3" s="580"/>
      <c r="AO3" s="568"/>
      <c r="AP3" s="568"/>
      <c r="AQ3" s="580"/>
    </row>
    <row r="4" spans="2:44" ht="23.25" customHeight="1">
      <c r="B4" s="27"/>
      <c r="C4" s="27"/>
      <c r="D4" s="941" t="str">
        <f>IF(Mannschaften!I4="","",Mannschaften!I4)</f>
        <v>Hallerstein</v>
      </c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27"/>
      <c r="P4" s="27"/>
      <c r="Q4" s="27"/>
      <c r="R4" s="27"/>
      <c r="S4" s="27"/>
      <c r="T4" s="939">
        <f>Mannschaften!P4</f>
        <v>43715</v>
      </c>
      <c r="U4" s="939"/>
      <c r="V4" s="939"/>
      <c r="W4" s="939"/>
      <c r="X4" s="939"/>
      <c r="Y4" s="939"/>
      <c r="Z4" s="939"/>
      <c r="AA4" s="27" t="s">
        <v>108</v>
      </c>
      <c r="AB4" s="940">
        <f>Mannschaften!T4</f>
        <v>43716</v>
      </c>
      <c r="AC4" s="940"/>
      <c r="AD4" s="940"/>
      <c r="AE4" s="940"/>
      <c r="AF4" s="940"/>
      <c r="AG4" s="940"/>
      <c r="AH4" s="940"/>
      <c r="AI4" s="40"/>
      <c r="AJ4" s="40"/>
      <c r="AK4" s="40"/>
      <c r="AL4" s="569"/>
      <c r="AM4" s="569"/>
      <c r="AN4" s="581"/>
      <c r="AO4" s="569"/>
      <c r="AP4" s="569"/>
      <c r="AQ4" s="581"/>
      <c r="AR4" s="27"/>
    </row>
    <row r="5" spans="1:44" ht="18.75" customHeight="1">
      <c r="A5" s="944" t="str">
        <f>Mannschaften!A5</f>
        <v>Ausrichter:     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36"/>
      <c r="R5" s="36"/>
      <c r="S5" s="36"/>
      <c r="T5" s="945" t="str">
        <f>IF(Mannschaften!N5="","",Mannschaften!N5)</f>
        <v>TSV Hallerstein</v>
      </c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N5" s="945"/>
      <c r="AO5" s="945"/>
      <c r="AP5" s="945"/>
      <c r="AQ5" s="945"/>
      <c r="AR5" s="945"/>
    </row>
    <row r="6" spans="8:25" ht="24.75" customHeight="1" thickBot="1">
      <c r="H6" s="942"/>
      <c r="I6" s="942"/>
      <c r="J6" s="942"/>
      <c r="K6" s="942"/>
      <c r="L6" s="942"/>
      <c r="M6" s="942"/>
      <c r="N6" s="942" t="str">
        <f>Mannschaften!K3</f>
        <v>m U18</v>
      </c>
      <c r="O6" s="942"/>
      <c r="P6" s="942"/>
      <c r="Q6" s="942"/>
      <c r="R6" s="942"/>
      <c r="S6" s="942"/>
      <c r="T6" s="943" t="s">
        <v>5</v>
      </c>
      <c r="U6" s="943"/>
      <c r="V6" s="943"/>
      <c r="W6" s="943"/>
      <c r="X6" s="943"/>
      <c r="Y6" s="943"/>
    </row>
    <row r="7" spans="1:44" ht="16.5" customHeight="1" thickTop="1">
      <c r="A7" s="5" t="s">
        <v>26</v>
      </c>
      <c r="B7" s="917" t="str">
        <f>'Spielplan-Sa'!F10</f>
        <v>TV Vaihingen/Enz</v>
      </c>
      <c r="C7" s="918"/>
      <c r="D7" s="918"/>
      <c r="E7" s="918"/>
      <c r="F7" s="918"/>
      <c r="G7" s="919"/>
      <c r="H7" s="917" t="str">
        <f>'Spielplan-Sa'!F11</f>
        <v>NlV Stuttgart</v>
      </c>
      <c r="I7" s="918"/>
      <c r="J7" s="918"/>
      <c r="K7" s="918"/>
      <c r="L7" s="918"/>
      <c r="M7" s="919"/>
      <c r="N7" s="917" t="str">
        <f>'Spielplan-Sa'!F12</f>
        <v>TB Oppau</v>
      </c>
      <c r="O7" s="918"/>
      <c r="P7" s="918"/>
      <c r="Q7" s="918"/>
      <c r="R7" s="918"/>
      <c r="S7" s="919"/>
      <c r="T7" s="917" t="str">
        <f>'Spielplan-Sa'!F13</f>
        <v>TuS Wickrath</v>
      </c>
      <c r="U7" s="918"/>
      <c r="V7" s="918"/>
      <c r="W7" s="918"/>
      <c r="X7" s="918"/>
      <c r="Y7" s="919"/>
      <c r="Z7" s="917" t="str">
        <f>'Spielplan-Sa'!F14</f>
        <v>Berliner Turnerschaft</v>
      </c>
      <c r="AA7" s="918"/>
      <c r="AB7" s="918"/>
      <c r="AC7" s="918"/>
      <c r="AD7" s="918"/>
      <c r="AE7" s="919"/>
      <c r="AF7" s="962" t="s">
        <v>35</v>
      </c>
      <c r="AG7" s="963"/>
      <c r="AH7" s="964"/>
      <c r="AI7" s="43"/>
      <c r="AJ7" s="44"/>
      <c r="AK7" s="41"/>
      <c r="AL7" s="570" t="s">
        <v>314</v>
      </c>
      <c r="AM7" s="570" t="s">
        <v>315</v>
      </c>
      <c r="AN7" s="582" t="s">
        <v>316</v>
      </c>
      <c r="AO7" s="570" t="s">
        <v>317</v>
      </c>
      <c r="AP7" s="570" t="s">
        <v>318</v>
      </c>
      <c r="AQ7" s="582"/>
      <c r="AR7" s="952" t="s">
        <v>36</v>
      </c>
    </row>
    <row r="8" spans="1:44" ht="16.5" customHeight="1">
      <c r="A8" s="37"/>
      <c r="B8" s="920"/>
      <c r="C8" s="921"/>
      <c r="D8" s="921"/>
      <c r="E8" s="921"/>
      <c r="F8" s="921"/>
      <c r="G8" s="922"/>
      <c r="H8" s="920"/>
      <c r="I8" s="921"/>
      <c r="J8" s="921"/>
      <c r="K8" s="921"/>
      <c r="L8" s="921"/>
      <c r="M8" s="922"/>
      <c r="N8" s="920"/>
      <c r="O8" s="921"/>
      <c r="P8" s="921"/>
      <c r="Q8" s="921"/>
      <c r="R8" s="921"/>
      <c r="S8" s="922"/>
      <c r="T8" s="920"/>
      <c r="U8" s="921"/>
      <c r="V8" s="921"/>
      <c r="W8" s="921"/>
      <c r="X8" s="921"/>
      <c r="Y8" s="922"/>
      <c r="Z8" s="920"/>
      <c r="AA8" s="921"/>
      <c r="AB8" s="921"/>
      <c r="AC8" s="921"/>
      <c r="AD8" s="921"/>
      <c r="AE8" s="922"/>
      <c r="AF8" s="965" t="s">
        <v>134</v>
      </c>
      <c r="AG8" s="966"/>
      <c r="AH8" s="967"/>
      <c r="AI8" s="45"/>
      <c r="AJ8" s="3"/>
      <c r="AK8" s="46"/>
      <c r="AL8" s="571" t="s">
        <v>150</v>
      </c>
      <c r="AM8" s="571" t="s">
        <v>150</v>
      </c>
      <c r="AN8" s="583" t="s">
        <v>130</v>
      </c>
      <c r="AO8" s="571" t="s">
        <v>130</v>
      </c>
      <c r="AP8" s="571" t="s">
        <v>34</v>
      </c>
      <c r="AQ8" s="583" t="s">
        <v>36</v>
      </c>
      <c r="AR8" s="953"/>
    </row>
    <row r="9" spans="1:44" ht="16.5" customHeight="1" thickBot="1">
      <c r="A9" s="37"/>
      <c r="B9" s="920"/>
      <c r="C9" s="921"/>
      <c r="D9" s="921"/>
      <c r="E9" s="921"/>
      <c r="F9" s="921"/>
      <c r="G9" s="922"/>
      <c r="H9" s="920"/>
      <c r="I9" s="921"/>
      <c r="J9" s="921"/>
      <c r="K9" s="921"/>
      <c r="L9" s="921"/>
      <c r="M9" s="922"/>
      <c r="N9" s="920"/>
      <c r="O9" s="921"/>
      <c r="P9" s="921"/>
      <c r="Q9" s="921"/>
      <c r="R9" s="921"/>
      <c r="S9" s="922"/>
      <c r="T9" s="920"/>
      <c r="U9" s="921"/>
      <c r="V9" s="921"/>
      <c r="W9" s="921"/>
      <c r="X9" s="921"/>
      <c r="Y9" s="922"/>
      <c r="Z9" s="920"/>
      <c r="AA9" s="921"/>
      <c r="AB9" s="921"/>
      <c r="AC9" s="921"/>
      <c r="AD9" s="921"/>
      <c r="AE9" s="922"/>
      <c r="AF9" s="968" t="s">
        <v>342</v>
      </c>
      <c r="AG9" s="969"/>
      <c r="AH9" s="970"/>
      <c r="AI9" s="954" t="s">
        <v>34</v>
      </c>
      <c r="AJ9" s="955"/>
      <c r="AK9" s="956"/>
      <c r="AL9" s="571" t="s">
        <v>319</v>
      </c>
      <c r="AM9" s="571" t="s">
        <v>151</v>
      </c>
      <c r="AN9" s="583" t="s">
        <v>319</v>
      </c>
      <c r="AO9" s="571" t="s">
        <v>151</v>
      </c>
      <c r="AP9" s="571"/>
      <c r="AQ9" s="583" t="s">
        <v>152</v>
      </c>
      <c r="AR9" s="953"/>
    </row>
    <row r="10" spans="1:44" ht="16.5" customHeight="1" thickTop="1">
      <c r="A10" s="934" t="str">
        <f>B7</f>
        <v>TV Vaihingen/Enz</v>
      </c>
      <c r="B10" s="958" t="s">
        <v>140</v>
      </c>
      <c r="C10" s="959"/>
      <c r="D10" s="959"/>
      <c r="E10" s="959" t="s">
        <v>35</v>
      </c>
      <c r="F10" s="959"/>
      <c r="G10" s="960"/>
      <c r="H10" s="62">
        <f>'Spielplan-Sa'!K20</f>
        <v>0</v>
      </c>
      <c r="I10" s="63" t="s">
        <v>7</v>
      </c>
      <c r="J10" s="64">
        <f>IF('Spielplan-Sa'!M20="",0,'Spielplan-Sa'!M20)</f>
        <v>0</v>
      </c>
      <c r="K10" s="65">
        <f>'Spielplan-Sa'!AF20</f>
        <v>0</v>
      </c>
      <c r="L10" s="63" t="s">
        <v>7</v>
      </c>
      <c r="M10" s="66">
        <f>'Spielplan-Sa'!AH20</f>
        <v>0</v>
      </c>
      <c r="N10" s="67">
        <f>'Spielplan-Sa'!K34</f>
        <v>0</v>
      </c>
      <c r="O10" s="63" t="s">
        <v>7</v>
      </c>
      <c r="P10" s="64">
        <f>'Spielplan-Sa'!M34</f>
        <v>0</v>
      </c>
      <c r="Q10" s="65">
        <f>'Spielplan-Sa'!AF34</f>
        <v>0</v>
      </c>
      <c r="R10" s="63" t="s">
        <v>7</v>
      </c>
      <c r="S10" s="66">
        <f>'Spielplan-Sa'!AH34</f>
        <v>0</v>
      </c>
      <c r="T10" s="67">
        <f>'Spielplan-Sa'!K30</f>
        <v>0</v>
      </c>
      <c r="U10" s="63" t="s">
        <v>7</v>
      </c>
      <c r="V10" s="64">
        <f>'Spielplan-Sa'!M30</f>
        <v>0</v>
      </c>
      <c r="W10" s="65">
        <f>'Spielplan-Sa'!AF30</f>
        <v>0</v>
      </c>
      <c r="X10" s="63" t="s">
        <v>7</v>
      </c>
      <c r="Y10" s="66">
        <f>'Spielplan-Sa'!AH30</f>
        <v>0</v>
      </c>
      <c r="Z10" s="67">
        <f>'Spielplan-Sa'!K24</f>
        <v>0</v>
      </c>
      <c r="AA10" s="63" t="s">
        <v>7</v>
      </c>
      <c r="AB10" s="64">
        <f>'Spielplan-Sa'!M24</f>
        <v>0</v>
      </c>
      <c r="AC10" s="65">
        <f>'Spielplan-Sa'!AF24</f>
        <v>0</v>
      </c>
      <c r="AD10" s="63" t="s">
        <v>7</v>
      </c>
      <c r="AE10" s="66">
        <f>'Spielplan-Sa'!AH24</f>
        <v>0</v>
      </c>
      <c r="AF10" s="52">
        <f>IF(K10="",0,+K10+IF(Q10="",0,+Q10+IF(W10="",0,+W10+IF(AC10="",0,+AC10))))</f>
        <v>0</v>
      </c>
      <c r="AG10" s="53" t="s">
        <v>7</v>
      </c>
      <c r="AH10" s="54">
        <f>IF(M10="",0,+M10+IF(S10="",0,+S10+IF(Y10="",0,+Y10+IF(AE10="",0,+AE10))))</f>
        <v>0</v>
      </c>
      <c r="AI10" s="47"/>
      <c r="AJ10" s="48"/>
      <c r="AK10" s="42"/>
      <c r="AL10" s="572">
        <f>AF10</f>
        <v>0</v>
      </c>
      <c r="AM10" s="572">
        <f>(AF10-AH10)*1000</f>
        <v>0</v>
      </c>
      <c r="AN10" s="572"/>
      <c r="AO10" s="572"/>
      <c r="AP10" s="572"/>
      <c r="AQ10" s="572"/>
      <c r="AR10" s="946">
        <f>IF('Spielplan-Sa'!AL$38+'Spielplan-Sa'!AN$38=0,"",IF(AQ11="","",RANK(AQ11,AQ$11:AQ$23,0)))</f>
      </c>
    </row>
    <row r="11" spans="1:44" ht="16.5" customHeight="1">
      <c r="A11" s="935"/>
      <c r="B11" s="932" t="s">
        <v>132</v>
      </c>
      <c r="C11" s="933"/>
      <c r="D11" s="933"/>
      <c r="E11" s="933" t="s">
        <v>134</v>
      </c>
      <c r="F11" s="933"/>
      <c r="G11" s="961"/>
      <c r="H11" s="68">
        <f>'Spielplan-Sa'!N20</f>
        <v>0</v>
      </c>
      <c r="I11" s="69" t="s">
        <v>7</v>
      </c>
      <c r="J11" s="70">
        <f>'Spielplan-Sa'!P20</f>
        <v>0</v>
      </c>
      <c r="K11" s="71">
        <f>'Spielplan-Sa'!AI20</f>
        <v>0</v>
      </c>
      <c r="L11" s="69" t="s">
        <v>7</v>
      </c>
      <c r="M11" s="72">
        <f>'Spielplan-Sa'!AK20</f>
        <v>0</v>
      </c>
      <c r="N11" s="68">
        <f>'Spielplan-Sa'!N34</f>
        <v>0</v>
      </c>
      <c r="O11" s="69" t="s">
        <v>7</v>
      </c>
      <c r="P11" s="70">
        <f>'Spielplan-Sa'!P34</f>
        <v>0</v>
      </c>
      <c r="Q11" s="71">
        <f>'Spielplan-Sa'!AI34</f>
        <v>0</v>
      </c>
      <c r="R11" s="69" t="s">
        <v>7</v>
      </c>
      <c r="S11" s="72">
        <f>'Spielplan-Sa'!AK34</f>
        <v>0</v>
      </c>
      <c r="T11" s="68">
        <f>'Spielplan-Sa'!N30</f>
        <v>0</v>
      </c>
      <c r="U11" s="69" t="s">
        <v>7</v>
      </c>
      <c r="V11" s="70">
        <f>'Spielplan-Sa'!P30</f>
        <v>0</v>
      </c>
      <c r="W11" s="71">
        <f>'Spielplan-Sa'!AI30</f>
        <v>0</v>
      </c>
      <c r="X11" s="69" t="s">
        <v>7</v>
      </c>
      <c r="Y11" s="72">
        <f>'Spielplan-Sa'!AK30</f>
        <v>0</v>
      </c>
      <c r="Z11" s="68">
        <f>'Spielplan-Sa'!N24</f>
        <v>0</v>
      </c>
      <c r="AA11" s="69" t="s">
        <v>7</v>
      </c>
      <c r="AB11" s="70">
        <f>'Spielplan-Sa'!P24</f>
        <v>0</v>
      </c>
      <c r="AC11" s="71">
        <f>'Spielplan-Sa'!AI24</f>
        <v>0</v>
      </c>
      <c r="AD11" s="69" t="s">
        <v>7</v>
      </c>
      <c r="AE11" s="72">
        <f>'Spielplan-Sa'!AK24</f>
        <v>0</v>
      </c>
      <c r="AF11" s="55">
        <f>IF(K11="",0,+K11+IF(Q11="",0,+Q11+IF(W11="",0,+W11+IF(AC11="",0,+AC11))))</f>
        <v>0</v>
      </c>
      <c r="AG11" s="56" t="s">
        <v>7</v>
      </c>
      <c r="AH11" s="57">
        <f>IF(M11="",0,+M11+IF(S11="",0,+S11+IF(Y11="",0,+Y11+IF(AE11="",0,+AE11))))</f>
        <v>0</v>
      </c>
      <c r="AI11" s="45"/>
      <c r="AJ11" s="3"/>
      <c r="AK11" s="46"/>
      <c r="AL11" s="573"/>
      <c r="AM11" s="576"/>
      <c r="AN11" s="576">
        <f>AF11*100000</f>
        <v>0</v>
      </c>
      <c r="AO11" s="576">
        <f>(AF11-AH11)*1000000</f>
        <v>0</v>
      </c>
      <c r="AP11" s="584"/>
      <c r="AQ11" s="576">
        <f>AP12+AO11+AN11+AM10+AL10</f>
        <v>0</v>
      </c>
      <c r="AR11" s="947"/>
    </row>
    <row r="12" spans="1:44" ht="16.5" customHeight="1" thickBot="1">
      <c r="A12" s="936"/>
      <c r="B12" s="957" t="s">
        <v>133</v>
      </c>
      <c r="C12" s="937"/>
      <c r="D12" s="937"/>
      <c r="E12" s="937" t="s">
        <v>34</v>
      </c>
      <c r="F12" s="937"/>
      <c r="G12" s="938"/>
      <c r="H12" s="73">
        <f>'Spielplan-Sa'!Q20</f>
        <v>0</v>
      </c>
      <c r="I12" s="74" t="s">
        <v>7</v>
      </c>
      <c r="J12" s="75">
        <f>'Spielplan-Sa'!S20</f>
        <v>0</v>
      </c>
      <c r="K12" s="76">
        <f>'Spielplan-Sa'!AL20</f>
        <v>0</v>
      </c>
      <c r="L12" s="74" t="s">
        <v>7</v>
      </c>
      <c r="M12" s="77">
        <f>'Spielplan-Sa'!AN20</f>
        <v>0</v>
      </c>
      <c r="N12" s="73">
        <f>'Spielplan-Sa'!Q34</f>
        <v>0</v>
      </c>
      <c r="O12" s="74" t="s">
        <v>7</v>
      </c>
      <c r="P12" s="75">
        <f>'Spielplan-Sa'!S34</f>
        <v>0</v>
      </c>
      <c r="Q12" s="76">
        <f>'Spielplan-Sa'!AL34</f>
        <v>0</v>
      </c>
      <c r="R12" s="74" t="s">
        <v>7</v>
      </c>
      <c r="S12" s="77">
        <f>'Spielplan-Sa'!AN34</f>
        <v>0</v>
      </c>
      <c r="T12" s="73">
        <f>'Spielplan-Sa'!Q30</f>
        <v>0</v>
      </c>
      <c r="U12" s="74" t="s">
        <v>7</v>
      </c>
      <c r="V12" s="75">
        <f>'Spielplan-Sa'!S30</f>
        <v>0</v>
      </c>
      <c r="W12" s="76">
        <f>'Spielplan-Sa'!AL30</f>
        <v>0</v>
      </c>
      <c r="X12" s="74" t="s">
        <v>7</v>
      </c>
      <c r="Y12" s="77">
        <f>'Spielplan-Sa'!AN30</f>
        <v>0</v>
      </c>
      <c r="Z12" s="73">
        <f>'Spielplan-Sa'!Q24</f>
        <v>0</v>
      </c>
      <c r="AA12" s="74" t="s">
        <v>7</v>
      </c>
      <c r="AB12" s="75">
        <f>'Spielplan-Sa'!S24</f>
        <v>0</v>
      </c>
      <c r="AC12" s="76">
        <f>'Spielplan-Sa'!AL24</f>
        <v>0</v>
      </c>
      <c r="AD12" s="74" t="s">
        <v>7</v>
      </c>
      <c r="AE12" s="77">
        <f>'Spielplan-Sa'!AN24</f>
        <v>0</v>
      </c>
      <c r="AF12" s="949">
        <f>AF10-AH10</f>
        <v>0</v>
      </c>
      <c r="AG12" s="950"/>
      <c r="AH12" s="951"/>
      <c r="AI12" s="81">
        <f>K12+Q12+W12+AC12</f>
        <v>0</v>
      </c>
      <c r="AJ12" s="39" t="s">
        <v>7</v>
      </c>
      <c r="AK12" s="82">
        <f>M12+S12+Y12+AE12</f>
        <v>0</v>
      </c>
      <c r="AL12" s="574"/>
      <c r="AM12" s="577"/>
      <c r="AN12" s="577"/>
      <c r="AO12" s="577"/>
      <c r="AP12" s="585">
        <f>AI12*10000000</f>
        <v>0</v>
      </c>
      <c r="AQ12" s="577"/>
      <c r="AR12" s="948"/>
    </row>
    <row r="13" spans="1:44" ht="16.5" customHeight="1" thickTop="1">
      <c r="A13" s="934" t="str">
        <f>H7</f>
        <v>NlV Stuttgart</v>
      </c>
      <c r="B13" s="67">
        <f>J10</f>
        <v>0</v>
      </c>
      <c r="C13" s="63" t="s">
        <v>7</v>
      </c>
      <c r="D13" s="78">
        <f>H10</f>
        <v>0</v>
      </c>
      <c r="E13" s="65">
        <f>M10</f>
        <v>0</v>
      </c>
      <c r="F13" s="63" t="s">
        <v>7</v>
      </c>
      <c r="G13" s="66">
        <f>K10</f>
        <v>0</v>
      </c>
      <c r="H13" s="923"/>
      <c r="I13" s="924"/>
      <c r="J13" s="924"/>
      <c r="K13" s="924"/>
      <c r="L13" s="924"/>
      <c r="M13" s="925"/>
      <c r="N13" s="67">
        <f>'Spielplan-Sa'!K38</f>
        <v>0</v>
      </c>
      <c r="O13" s="63" t="s">
        <v>7</v>
      </c>
      <c r="P13" s="64">
        <f>'Spielplan-Sa'!M38</f>
        <v>0</v>
      </c>
      <c r="Q13" s="65">
        <f>'Spielplan-Sa'!AF38</f>
        <v>0</v>
      </c>
      <c r="R13" s="63" t="s">
        <v>7</v>
      </c>
      <c r="S13" s="66">
        <f>'Spielplan-Sa'!AH38</f>
        <v>0</v>
      </c>
      <c r="T13" s="67">
        <f>'Spielplan-Sa'!K26</f>
        <v>0</v>
      </c>
      <c r="U13" s="63" t="s">
        <v>7</v>
      </c>
      <c r="V13" s="64">
        <f>'Spielplan-Sa'!M26</f>
        <v>0</v>
      </c>
      <c r="W13" s="65">
        <f>'Spielplan-Sa'!AF26</f>
        <v>0</v>
      </c>
      <c r="X13" s="63" t="s">
        <v>7</v>
      </c>
      <c r="Y13" s="66">
        <f>'Spielplan-Sa'!AH26</f>
        <v>0</v>
      </c>
      <c r="Z13" s="67">
        <f>'Spielplan-Sa'!K32</f>
        <v>0</v>
      </c>
      <c r="AA13" s="63" t="s">
        <v>7</v>
      </c>
      <c r="AB13" s="64">
        <f>'Spielplan-Sa'!M32</f>
        <v>0</v>
      </c>
      <c r="AC13" s="65">
        <f>'Spielplan-Sa'!AF32</f>
        <v>0</v>
      </c>
      <c r="AD13" s="63" t="s">
        <v>7</v>
      </c>
      <c r="AE13" s="66">
        <f>'Spielplan-Sa'!AH32</f>
        <v>0</v>
      </c>
      <c r="AF13" s="52">
        <f>IF(E13="",0,+E13+IF(Q13="",0,+Q13+IF(W13="",0,+W13+IF(AC13="",0,+AC13))))</f>
        <v>0</v>
      </c>
      <c r="AG13" s="59" t="s">
        <v>7</v>
      </c>
      <c r="AH13" s="54">
        <f>IF(G13="",0,+G13+IF(S13="",0,+S13+IF(Y13="",0,+Y13+IF(AE13="",0,+AE13))))</f>
        <v>0</v>
      </c>
      <c r="AI13" s="47"/>
      <c r="AJ13" s="48"/>
      <c r="AK13" s="42"/>
      <c r="AL13" s="572">
        <f>AF13</f>
        <v>0</v>
      </c>
      <c r="AM13" s="572">
        <f>(AF13-AH13)*1000</f>
        <v>0</v>
      </c>
      <c r="AN13" s="572"/>
      <c r="AO13" s="572"/>
      <c r="AP13" s="572"/>
      <c r="AQ13" s="572"/>
      <c r="AR13" s="946">
        <f>IF('Spielplan-Sa'!AL$38+'Spielplan-Sa'!AN$38=0,"",IF(AQ14="","",RANK(AQ14,AQ$11:AQ$23,0)))</f>
      </c>
    </row>
    <row r="14" spans="1:44" ht="16.5" customHeight="1">
      <c r="A14" s="935"/>
      <c r="B14" s="68">
        <f>J11</f>
        <v>0</v>
      </c>
      <c r="C14" s="69" t="s">
        <v>7</v>
      </c>
      <c r="D14" s="79">
        <f>H11</f>
        <v>0</v>
      </c>
      <c r="E14" s="71">
        <f>M11</f>
        <v>0</v>
      </c>
      <c r="F14" s="69" t="s">
        <v>7</v>
      </c>
      <c r="G14" s="72">
        <f>K11</f>
        <v>0</v>
      </c>
      <c r="H14" s="926"/>
      <c r="I14" s="927"/>
      <c r="J14" s="927"/>
      <c r="K14" s="927"/>
      <c r="L14" s="927"/>
      <c r="M14" s="928"/>
      <c r="N14" s="68">
        <f>'Spielplan-Sa'!N38</f>
        <v>0</v>
      </c>
      <c r="O14" s="69" t="s">
        <v>7</v>
      </c>
      <c r="P14" s="70">
        <f>'Spielplan-Sa'!P38</f>
        <v>0</v>
      </c>
      <c r="Q14" s="71">
        <f>'Spielplan-Sa'!AI38</f>
        <v>0</v>
      </c>
      <c r="R14" s="69" t="s">
        <v>7</v>
      </c>
      <c r="S14" s="72">
        <f>'Spielplan-Sa'!AK38</f>
        <v>0</v>
      </c>
      <c r="T14" s="68">
        <f>'Spielplan-Sa'!N26</f>
        <v>0</v>
      </c>
      <c r="U14" s="69" t="s">
        <v>7</v>
      </c>
      <c r="V14" s="70">
        <f>'Spielplan-Sa'!P26</f>
        <v>0</v>
      </c>
      <c r="W14" s="71">
        <f>'Spielplan-Sa'!AI26</f>
        <v>0</v>
      </c>
      <c r="X14" s="69" t="s">
        <v>7</v>
      </c>
      <c r="Y14" s="72">
        <f>'Spielplan-Sa'!AK26</f>
        <v>0</v>
      </c>
      <c r="Z14" s="68">
        <f>'Spielplan-Sa'!N32</f>
        <v>0</v>
      </c>
      <c r="AA14" s="69" t="s">
        <v>7</v>
      </c>
      <c r="AB14" s="70">
        <f>'Spielplan-Sa'!P32</f>
        <v>0</v>
      </c>
      <c r="AC14" s="71">
        <f>'Spielplan-Sa'!AI32</f>
        <v>0</v>
      </c>
      <c r="AD14" s="69" t="s">
        <v>7</v>
      </c>
      <c r="AE14" s="72">
        <f>'Spielplan-Sa'!AK32</f>
        <v>0</v>
      </c>
      <c r="AF14" s="55">
        <f>IF(E14="",0,+E14+IF(Q14="",0,+Q14+IF(W14="",0,+W14+IF(AC14="",0,+AC14))))</f>
        <v>0</v>
      </c>
      <c r="AG14" s="60" t="s">
        <v>7</v>
      </c>
      <c r="AH14" s="57">
        <f>IF(G14="",0,+G14+IF(S14="",0,+S14+IF(Y14="",0,+Y14+IF(AE14="",0,+AE14))))</f>
        <v>0</v>
      </c>
      <c r="AI14" s="45"/>
      <c r="AJ14" s="3"/>
      <c r="AK14" s="46"/>
      <c r="AL14" s="573"/>
      <c r="AM14" s="576"/>
      <c r="AN14" s="576">
        <f>AF14*100000</f>
        <v>0</v>
      </c>
      <c r="AO14" s="576">
        <f>(AF14-AH14)*1000000</f>
        <v>0</v>
      </c>
      <c r="AP14" s="584"/>
      <c r="AQ14" s="576">
        <f>AP15+AO14+AN14+AM13+AL13</f>
        <v>0</v>
      </c>
      <c r="AR14" s="947"/>
    </row>
    <row r="15" spans="1:44" ht="16.5" customHeight="1" thickBot="1">
      <c r="A15" s="936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0</v>
      </c>
      <c r="H15" s="929"/>
      <c r="I15" s="930"/>
      <c r="J15" s="930"/>
      <c r="K15" s="930"/>
      <c r="L15" s="930"/>
      <c r="M15" s="931"/>
      <c r="N15" s="73">
        <f>'Spielplan-Sa'!Q38</f>
        <v>0</v>
      </c>
      <c r="O15" s="74" t="s">
        <v>7</v>
      </c>
      <c r="P15" s="75">
        <f>'Spielplan-Sa'!S38</f>
        <v>0</v>
      </c>
      <c r="Q15" s="76">
        <f>'Spielplan-Sa'!AL38</f>
        <v>0</v>
      </c>
      <c r="R15" s="74" t="s">
        <v>7</v>
      </c>
      <c r="S15" s="77">
        <f>'Spielplan-Sa'!AN38</f>
        <v>0</v>
      </c>
      <c r="T15" s="73">
        <f>'Spielplan-Sa'!Q26</f>
        <v>0</v>
      </c>
      <c r="U15" s="74" t="s">
        <v>7</v>
      </c>
      <c r="V15" s="75">
        <f>'Spielplan-Sa'!S26</f>
        <v>0</v>
      </c>
      <c r="W15" s="76">
        <f>'Spielplan-Sa'!AL26</f>
        <v>0</v>
      </c>
      <c r="X15" s="74" t="s">
        <v>7</v>
      </c>
      <c r="Y15" s="77">
        <f>'Spielplan-Sa'!AN26</f>
        <v>0</v>
      </c>
      <c r="Z15" s="73">
        <f>'Spielplan-Sa'!Q32</f>
        <v>0</v>
      </c>
      <c r="AA15" s="74" t="s">
        <v>7</v>
      </c>
      <c r="AB15" s="75">
        <f>'Spielplan-Sa'!S32</f>
        <v>0</v>
      </c>
      <c r="AC15" s="76">
        <f>'Spielplan-Sa'!AL32</f>
        <v>0</v>
      </c>
      <c r="AD15" s="74" t="s">
        <v>7</v>
      </c>
      <c r="AE15" s="77">
        <f>'Spielplan-Sa'!AN32</f>
        <v>0</v>
      </c>
      <c r="AF15" s="949">
        <f>AF13-AH13</f>
        <v>0</v>
      </c>
      <c r="AG15" s="950"/>
      <c r="AH15" s="951"/>
      <c r="AI15" s="81">
        <f>E15+Q15+W15+AC15</f>
        <v>0</v>
      </c>
      <c r="AJ15" s="39" t="s">
        <v>7</v>
      </c>
      <c r="AK15" s="82">
        <f>G15+S15+Y15+AE15</f>
        <v>0</v>
      </c>
      <c r="AL15" s="574"/>
      <c r="AM15" s="577"/>
      <c r="AN15" s="577"/>
      <c r="AO15" s="577"/>
      <c r="AP15" s="585">
        <f>AI15*10000000</f>
        <v>0</v>
      </c>
      <c r="AQ15" s="577"/>
      <c r="AR15" s="948"/>
    </row>
    <row r="16" spans="1:44" ht="16.5" customHeight="1" thickTop="1">
      <c r="A16" s="934" t="str">
        <f>N7</f>
        <v>TB Oppau</v>
      </c>
      <c r="B16" s="67">
        <f>P10</f>
        <v>0</v>
      </c>
      <c r="C16" s="63" t="s">
        <v>7</v>
      </c>
      <c r="D16" s="64">
        <f>N10</f>
        <v>0</v>
      </c>
      <c r="E16" s="65">
        <f>S10</f>
        <v>0</v>
      </c>
      <c r="F16" s="63" t="s">
        <v>7</v>
      </c>
      <c r="G16" s="66">
        <f>Q10</f>
        <v>0</v>
      </c>
      <c r="H16" s="67">
        <f>P13</f>
        <v>0</v>
      </c>
      <c r="I16" s="63" t="s">
        <v>7</v>
      </c>
      <c r="J16" s="64">
        <f>N13</f>
        <v>0</v>
      </c>
      <c r="K16" s="65">
        <f>S13</f>
        <v>0</v>
      </c>
      <c r="L16" s="63" t="s">
        <v>7</v>
      </c>
      <c r="M16" s="66">
        <f>Q13</f>
        <v>0</v>
      </c>
      <c r="N16" s="923"/>
      <c r="O16" s="924"/>
      <c r="P16" s="924"/>
      <c r="Q16" s="924"/>
      <c r="R16" s="924"/>
      <c r="S16" s="925"/>
      <c r="T16" s="67">
        <f>'Spielplan-Sa'!K22</f>
        <v>0</v>
      </c>
      <c r="U16" s="63" t="s">
        <v>7</v>
      </c>
      <c r="V16" s="64">
        <f>'Spielplan-Sa'!M22</f>
        <v>0</v>
      </c>
      <c r="W16" s="65">
        <f>'Spielplan-Sa'!AF22</f>
        <v>0</v>
      </c>
      <c r="X16" s="63" t="s">
        <v>7</v>
      </c>
      <c r="Y16" s="66">
        <f>'Spielplan-Sa'!AH22</f>
        <v>0</v>
      </c>
      <c r="Z16" s="67">
        <f>'Spielplan-Sa'!K28</f>
        <v>0</v>
      </c>
      <c r="AA16" s="63" t="s">
        <v>7</v>
      </c>
      <c r="AB16" s="64">
        <f>'Spielplan-Sa'!M28</f>
        <v>0</v>
      </c>
      <c r="AC16" s="65">
        <f>'Spielplan-Sa'!AF28</f>
        <v>0</v>
      </c>
      <c r="AD16" s="63" t="s">
        <v>7</v>
      </c>
      <c r="AE16" s="66">
        <f>'Spielplan-Sa'!AH28</f>
        <v>0</v>
      </c>
      <c r="AF16" s="52">
        <f>IF(E16="",0,+E16+IF(K16="",0,+K16+IF(W16="",0,+W16+IF(AC16="",0,+AC16))))</f>
        <v>0</v>
      </c>
      <c r="AG16" s="59" t="s">
        <v>7</v>
      </c>
      <c r="AH16" s="54">
        <f>IF(G16="",0,+G16+IF(M16="",0,+M16+IF(Y16="",0,+Y16+IF(AE16="",0,+AE16))))</f>
        <v>0</v>
      </c>
      <c r="AI16" s="47"/>
      <c r="AJ16" s="48"/>
      <c r="AK16" s="42"/>
      <c r="AL16" s="572">
        <f>AF16</f>
        <v>0</v>
      </c>
      <c r="AM16" s="572">
        <f>(AF16-AH16)*1000</f>
        <v>0</v>
      </c>
      <c r="AN16" s="572"/>
      <c r="AO16" s="572"/>
      <c r="AP16" s="572"/>
      <c r="AQ16" s="572"/>
      <c r="AR16" s="946">
        <f>IF('Spielplan-Sa'!AL$38+'Spielplan-Sa'!AN$38=0,"",IF(AQ17="","",RANK(AQ17,AQ$11:AQ$23,0)))</f>
      </c>
    </row>
    <row r="17" spans="1:44" ht="16.5" customHeight="1">
      <c r="A17" s="935"/>
      <c r="B17" s="68">
        <f>P11</f>
        <v>0</v>
      </c>
      <c r="C17" s="69" t="s">
        <v>7</v>
      </c>
      <c r="D17" s="70">
        <f>N11</f>
        <v>0</v>
      </c>
      <c r="E17" s="71">
        <f>S11</f>
        <v>0</v>
      </c>
      <c r="F17" s="69" t="s">
        <v>7</v>
      </c>
      <c r="G17" s="72">
        <f>Q11</f>
        <v>0</v>
      </c>
      <c r="H17" s="68">
        <f>P14</f>
        <v>0</v>
      </c>
      <c r="I17" s="69" t="s">
        <v>7</v>
      </c>
      <c r="J17" s="70">
        <f>N14</f>
        <v>0</v>
      </c>
      <c r="K17" s="71">
        <f>S14</f>
        <v>0</v>
      </c>
      <c r="L17" s="69" t="s">
        <v>7</v>
      </c>
      <c r="M17" s="72">
        <f>Q14</f>
        <v>0</v>
      </c>
      <c r="N17" s="926"/>
      <c r="O17" s="927"/>
      <c r="P17" s="927"/>
      <c r="Q17" s="927"/>
      <c r="R17" s="927"/>
      <c r="S17" s="928"/>
      <c r="T17" s="68">
        <f>'Spielplan-Sa'!N22</f>
        <v>0</v>
      </c>
      <c r="U17" s="69" t="s">
        <v>7</v>
      </c>
      <c r="V17" s="70">
        <f>'Spielplan-Sa'!P22</f>
        <v>0</v>
      </c>
      <c r="W17" s="71">
        <f>'Spielplan-Sa'!AI22</f>
        <v>0</v>
      </c>
      <c r="X17" s="69" t="s">
        <v>7</v>
      </c>
      <c r="Y17" s="72">
        <f>'Spielplan-Sa'!AK22</f>
        <v>0</v>
      </c>
      <c r="Z17" s="68">
        <f>'Spielplan-Sa'!N28</f>
        <v>0</v>
      </c>
      <c r="AA17" s="69" t="s">
        <v>7</v>
      </c>
      <c r="AB17" s="70">
        <f>'Spielplan-Sa'!P28</f>
        <v>0</v>
      </c>
      <c r="AC17" s="71">
        <f>'Spielplan-Sa'!AI28</f>
        <v>0</v>
      </c>
      <c r="AD17" s="69" t="s">
        <v>7</v>
      </c>
      <c r="AE17" s="72">
        <f>'Spielplan-Sa'!AK28</f>
        <v>0</v>
      </c>
      <c r="AF17" s="55">
        <f>IF(E17="",0,+E17+IF(K17="",0,+K17+IF(W17="",0,+W17+IF(AC17="",0,+AC17))))</f>
        <v>0</v>
      </c>
      <c r="AG17" s="60" t="s">
        <v>7</v>
      </c>
      <c r="AH17" s="57">
        <f>IF(G17="",0,+G17+IF(M17="",0,+M17+IF(Y17="",0,+Y17+IF(AE17="",0,+AE17))))</f>
        <v>0</v>
      </c>
      <c r="AI17" s="45"/>
      <c r="AJ17" s="3"/>
      <c r="AK17" s="46"/>
      <c r="AL17" s="573"/>
      <c r="AM17" s="576"/>
      <c r="AN17" s="576">
        <f>AF17*100000</f>
        <v>0</v>
      </c>
      <c r="AO17" s="576">
        <f>(AF17-AH17)*1000000</f>
        <v>0</v>
      </c>
      <c r="AP17" s="584"/>
      <c r="AQ17" s="576">
        <f>AP18+AO17+AN17+AM16+AL16</f>
        <v>0</v>
      </c>
      <c r="AR17" s="947"/>
    </row>
    <row r="18" spans="1:44" ht="16.5" customHeight="1" thickBot="1">
      <c r="A18" s="936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0</v>
      </c>
      <c r="L18" s="74" t="s">
        <v>7</v>
      </c>
      <c r="M18" s="77">
        <f>Q15</f>
        <v>0</v>
      </c>
      <c r="N18" s="929"/>
      <c r="O18" s="930"/>
      <c r="P18" s="930"/>
      <c r="Q18" s="930"/>
      <c r="R18" s="930"/>
      <c r="S18" s="931"/>
      <c r="T18" s="73">
        <f>'Spielplan-Sa'!Q22</f>
        <v>0</v>
      </c>
      <c r="U18" s="74" t="s">
        <v>7</v>
      </c>
      <c r="V18" s="75">
        <f>'Spielplan-Sa'!S22</f>
        <v>0</v>
      </c>
      <c r="W18" s="76">
        <f>'Spielplan-Sa'!AL22</f>
        <v>0</v>
      </c>
      <c r="X18" s="74" t="s">
        <v>7</v>
      </c>
      <c r="Y18" s="77">
        <f>'Spielplan-Sa'!AN22</f>
        <v>0</v>
      </c>
      <c r="Z18" s="73">
        <f>'Spielplan-Sa'!Q28</f>
        <v>0</v>
      </c>
      <c r="AA18" s="74" t="s">
        <v>7</v>
      </c>
      <c r="AB18" s="75">
        <f>'Spielplan-Sa'!S28</f>
        <v>0</v>
      </c>
      <c r="AC18" s="76">
        <f>'Spielplan-Sa'!AL28</f>
        <v>0</v>
      </c>
      <c r="AD18" s="74" t="s">
        <v>7</v>
      </c>
      <c r="AE18" s="77">
        <f>'Spielplan-Sa'!AN28</f>
        <v>0</v>
      </c>
      <c r="AF18" s="949">
        <f>AF16-AH16</f>
        <v>0</v>
      </c>
      <c r="AG18" s="950"/>
      <c r="AH18" s="951"/>
      <c r="AI18" s="81">
        <f>E18+K18+W18+AC18</f>
        <v>0</v>
      </c>
      <c r="AJ18" s="39" t="s">
        <v>7</v>
      </c>
      <c r="AK18" s="82">
        <f>G18+M18+Y18+AE18</f>
        <v>0</v>
      </c>
      <c r="AL18" s="574"/>
      <c r="AM18" s="577"/>
      <c r="AN18" s="577"/>
      <c r="AO18" s="577"/>
      <c r="AP18" s="585">
        <f>AI18*10000000</f>
        <v>0</v>
      </c>
      <c r="AQ18" s="577"/>
      <c r="AR18" s="948"/>
    </row>
    <row r="19" spans="1:44" ht="16.5" customHeight="1" thickTop="1">
      <c r="A19" s="934" t="str">
        <f>T7</f>
        <v>TuS Wickrath</v>
      </c>
      <c r="B19" s="67">
        <f>V10</f>
        <v>0</v>
      </c>
      <c r="C19" s="63" t="s">
        <v>7</v>
      </c>
      <c r="D19" s="64">
        <f>T10</f>
        <v>0</v>
      </c>
      <c r="E19" s="65">
        <f>Y10</f>
        <v>0</v>
      </c>
      <c r="F19" s="63" t="s">
        <v>7</v>
      </c>
      <c r="G19" s="66">
        <f>W10</f>
        <v>0</v>
      </c>
      <c r="H19" s="67">
        <f>V13</f>
        <v>0</v>
      </c>
      <c r="I19" s="63" t="s">
        <v>7</v>
      </c>
      <c r="J19" s="64">
        <f>T13</f>
        <v>0</v>
      </c>
      <c r="K19" s="65">
        <f>Y13</f>
        <v>0</v>
      </c>
      <c r="L19" s="63" t="s">
        <v>7</v>
      </c>
      <c r="M19" s="66">
        <f>W13</f>
        <v>0</v>
      </c>
      <c r="N19" s="67">
        <f>V16</f>
        <v>0</v>
      </c>
      <c r="O19" s="63" t="s">
        <v>7</v>
      </c>
      <c r="P19" s="64">
        <f>T16</f>
        <v>0</v>
      </c>
      <c r="Q19" s="65">
        <f>Y16</f>
        <v>0</v>
      </c>
      <c r="R19" s="63" t="s">
        <v>7</v>
      </c>
      <c r="S19" s="66">
        <f>W16</f>
        <v>0</v>
      </c>
      <c r="T19" s="923"/>
      <c r="U19" s="924"/>
      <c r="V19" s="924"/>
      <c r="W19" s="924"/>
      <c r="X19" s="924"/>
      <c r="Y19" s="925"/>
      <c r="Z19" s="67">
        <f>'Spielplan-Sa'!K36</f>
        <v>0</v>
      </c>
      <c r="AA19" s="63" t="s">
        <v>7</v>
      </c>
      <c r="AB19" s="64">
        <f>'Spielplan-Sa'!M36</f>
        <v>0</v>
      </c>
      <c r="AC19" s="65">
        <f>'Spielplan-Sa'!AF36</f>
        <v>0</v>
      </c>
      <c r="AD19" s="63" t="s">
        <v>7</v>
      </c>
      <c r="AE19" s="66">
        <f>'Spielplan-Sa'!AH36</f>
        <v>0</v>
      </c>
      <c r="AF19" s="52">
        <f>IF(E19="",0,+E19+IF(K19="",0,+K19+IF(Q19="",0,+Q19+IF(AC19="",0,+AC19))))</f>
        <v>0</v>
      </c>
      <c r="AG19" s="59" t="s">
        <v>7</v>
      </c>
      <c r="AH19" s="54">
        <f>IF(G19="",0,+G19+IF(M19="",0,+M19+IF(S19="",0,+S19+IF(AE19="",0,+AE19))))</f>
        <v>0</v>
      </c>
      <c r="AI19" s="47"/>
      <c r="AJ19" s="48"/>
      <c r="AK19" s="42"/>
      <c r="AL19" s="572">
        <f>AF19</f>
        <v>0</v>
      </c>
      <c r="AM19" s="572">
        <f>(AF19-AH19)*1000</f>
        <v>0</v>
      </c>
      <c r="AN19" s="572"/>
      <c r="AO19" s="572"/>
      <c r="AP19" s="572"/>
      <c r="AQ19" s="572"/>
      <c r="AR19" s="946">
        <f>IF('Spielplan-Sa'!AL$38+'Spielplan-Sa'!AN$38=0,"",IF(AQ20="","",RANK(AQ20,AQ$11:AQ$23,0)))</f>
      </c>
    </row>
    <row r="20" spans="1:44" ht="16.5" customHeight="1">
      <c r="A20" s="935"/>
      <c r="B20" s="68">
        <f>V11</f>
        <v>0</v>
      </c>
      <c r="C20" s="69" t="s">
        <v>7</v>
      </c>
      <c r="D20" s="70">
        <f>T11</f>
        <v>0</v>
      </c>
      <c r="E20" s="71">
        <f>Y11</f>
        <v>0</v>
      </c>
      <c r="F20" s="69" t="s">
        <v>7</v>
      </c>
      <c r="G20" s="72">
        <f>W11</f>
        <v>0</v>
      </c>
      <c r="H20" s="68">
        <f>V14</f>
        <v>0</v>
      </c>
      <c r="I20" s="69" t="s">
        <v>7</v>
      </c>
      <c r="J20" s="70">
        <f>T14</f>
        <v>0</v>
      </c>
      <c r="K20" s="71">
        <f>Y14</f>
        <v>0</v>
      </c>
      <c r="L20" s="69" t="s">
        <v>7</v>
      </c>
      <c r="M20" s="72">
        <f>W14</f>
        <v>0</v>
      </c>
      <c r="N20" s="68">
        <f>V17</f>
        <v>0</v>
      </c>
      <c r="O20" s="69" t="s">
        <v>7</v>
      </c>
      <c r="P20" s="70">
        <f>T17</f>
        <v>0</v>
      </c>
      <c r="Q20" s="71">
        <f>Y17</f>
        <v>0</v>
      </c>
      <c r="R20" s="69" t="s">
        <v>7</v>
      </c>
      <c r="S20" s="72">
        <f>W17</f>
        <v>0</v>
      </c>
      <c r="T20" s="926"/>
      <c r="U20" s="927"/>
      <c r="V20" s="927"/>
      <c r="W20" s="927"/>
      <c r="X20" s="927"/>
      <c r="Y20" s="928"/>
      <c r="Z20" s="68">
        <f>'Spielplan-Sa'!N36</f>
        <v>0</v>
      </c>
      <c r="AA20" s="69" t="s">
        <v>7</v>
      </c>
      <c r="AB20" s="70">
        <f>'Spielplan-Sa'!P36</f>
        <v>0</v>
      </c>
      <c r="AC20" s="71">
        <f>'Spielplan-Sa'!AI36</f>
        <v>0</v>
      </c>
      <c r="AD20" s="69" t="s">
        <v>7</v>
      </c>
      <c r="AE20" s="72">
        <f>'Spielplan-Sa'!AK36</f>
        <v>0</v>
      </c>
      <c r="AF20" s="55">
        <f>IF(E20="",0,+E20+IF(K20="",0,+K20+IF(Q20="",0,+Q20+IF(AC20="",0,+AC20))))</f>
        <v>0</v>
      </c>
      <c r="AG20" s="60" t="s">
        <v>7</v>
      </c>
      <c r="AH20" s="57">
        <f>IF(G20="",0,+G20+IF(M20="",0,+M20+IF(S20="",0,+S20+IF(AE20="",0,+AE20))))</f>
        <v>0</v>
      </c>
      <c r="AI20" s="45"/>
      <c r="AJ20" s="3"/>
      <c r="AK20" s="46"/>
      <c r="AL20" s="573"/>
      <c r="AM20" s="576"/>
      <c r="AN20" s="576">
        <f>AF20*100000</f>
        <v>0</v>
      </c>
      <c r="AO20" s="576">
        <f>(AF20-AH20)*1000000</f>
        <v>0</v>
      </c>
      <c r="AP20" s="584"/>
      <c r="AQ20" s="576">
        <f>AP21+AO20+AN20+AM19+AL19</f>
        <v>0</v>
      </c>
      <c r="AR20" s="947"/>
    </row>
    <row r="21" spans="1:44" ht="16.5" customHeight="1" thickBot="1">
      <c r="A21" s="936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0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0</v>
      </c>
      <c r="T21" s="929"/>
      <c r="U21" s="930"/>
      <c r="V21" s="930"/>
      <c r="W21" s="930"/>
      <c r="X21" s="930"/>
      <c r="Y21" s="931"/>
      <c r="Z21" s="73">
        <f>'Spielplan-Sa'!Q36</f>
        <v>0</v>
      </c>
      <c r="AA21" s="74" t="s">
        <v>7</v>
      </c>
      <c r="AB21" s="75">
        <f>'Spielplan-Sa'!S36</f>
        <v>0</v>
      </c>
      <c r="AC21" s="76">
        <f>'Spielplan-Sa'!AL36</f>
        <v>0</v>
      </c>
      <c r="AD21" s="74" t="s">
        <v>7</v>
      </c>
      <c r="AE21" s="77">
        <f>'Spielplan-Sa'!AN36</f>
        <v>0</v>
      </c>
      <c r="AF21" s="949">
        <f>AF19-AH19</f>
        <v>0</v>
      </c>
      <c r="AG21" s="950"/>
      <c r="AH21" s="951"/>
      <c r="AI21" s="81">
        <f>E21+K21+Q21+AC21</f>
        <v>0</v>
      </c>
      <c r="AJ21" s="39" t="s">
        <v>7</v>
      </c>
      <c r="AK21" s="82">
        <f>G21+M21+S21+AE21</f>
        <v>0</v>
      </c>
      <c r="AL21" s="574"/>
      <c r="AM21" s="577"/>
      <c r="AN21" s="577"/>
      <c r="AO21" s="577"/>
      <c r="AP21" s="585">
        <f>AI21*10000000</f>
        <v>0</v>
      </c>
      <c r="AQ21" s="577"/>
      <c r="AR21" s="948"/>
    </row>
    <row r="22" spans="1:44" ht="16.5" customHeight="1" thickTop="1">
      <c r="A22" s="934" t="str">
        <f>Z7</f>
        <v>Berliner Turnerschaft</v>
      </c>
      <c r="B22" s="67">
        <f>AB10</f>
        <v>0</v>
      </c>
      <c r="C22" s="63" t="s">
        <v>7</v>
      </c>
      <c r="D22" s="64">
        <f>Z10</f>
        <v>0</v>
      </c>
      <c r="E22" s="65">
        <f>AE10</f>
        <v>0</v>
      </c>
      <c r="F22" s="63" t="s">
        <v>7</v>
      </c>
      <c r="G22" s="66">
        <f>AC10</f>
        <v>0</v>
      </c>
      <c r="H22" s="67">
        <f>AB13</f>
        <v>0</v>
      </c>
      <c r="I22" s="63" t="s">
        <v>7</v>
      </c>
      <c r="J22" s="64">
        <f>Z13</f>
        <v>0</v>
      </c>
      <c r="K22" s="65">
        <f>AE13</f>
        <v>0</v>
      </c>
      <c r="L22" s="63" t="s">
        <v>7</v>
      </c>
      <c r="M22" s="66">
        <f>AC13</f>
        <v>0</v>
      </c>
      <c r="N22" s="67">
        <f>AB16</f>
        <v>0</v>
      </c>
      <c r="O22" s="63" t="s">
        <v>7</v>
      </c>
      <c r="P22" s="64">
        <f>Z16</f>
        <v>0</v>
      </c>
      <c r="Q22" s="65">
        <f>AE16</f>
        <v>0</v>
      </c>
      <c r="R22" s="63" t="s">
        <v>7</v>
      </c>
      <c r="S22" s="66">
        <f>AC16</f>
        <v>0</v>
      </c>
      <c r="T22" s="67">
        <f>AB19</f>
        <v>0</v>
      </c>
      <c r="U22" s="63" t="s">
        <v>7</v>
      </c>
      <c r="V22" s="64">
        <f>Z19</f>
        <v>0</v>
      </c>
      <c r="W22" s="65">
        <f>AE19</f>
        <v>0</v>
      </c>
      <c r="X22" s="63" t="s">
        <v>7</v>
      </c>
      <c r="Y22" s="66">
        <f>AC19</f>
        <v>0</v>
      </c>
      <c r="Z22" s="923"/>
      <c r="AA22" s="924"/>
      <c r="AB22" s="924"/>
      <c r="AC22" s="924"/>
      <c r="AD22" s="924"/>
      <c r="AE22" s="925"/>
      <c r="AF22" s="52">
        <f>IF(E22="",0,+E22+IF(K22="",0,+K22+IF(Q22="",0,+Q22+IF(W22="",0,+W22))))</f>
        <v>0</v>
      </c>
      <c r="AG22" s="59" t="s">
        <v>7</v>
      </c>
      <c r="AH22" s="54">
        <f>IF(G22="",0,+G22+IF(M22="",0,+M22+IF(S22="",0,+S22+IF(Y22="",0,+Y22))))</f>
        <v>0</v>
      </c>
      <c r="AI22" s="47"/>
      <c r="AJ22" s="48"/>
      <c r="AK22" s="42"/>
      <c r="AL22" s="572">
        <f>AF22</f>
        <v>0</v>
      </c>
      <c r="AM22" s="572">
        <f>(AF22-AH22)*1000</f>
        <v>0</v>
      </c>
      <c r="AN22" s="572"/>
      <c r="AO22" s="572"/>
      <c r="AP22" s="572"/>
      <c r="AQ22" s="572"/>
      <c r="AR22" s="946">
        <f>IF('Spielplan-Sa'!AL$38+'Spielplan-Sa'!AN$38=0,"",IF(AQ23="","",RANK(AQ23,AQ$11:AQ$23,0)))</f>
      </c>
    </row>
    <row r="23" spans="1:44" ht="16.5" customHeight="1">
      <c r="A23" s="935"/>
      <c r="B23" s="68">
        <f>AB11</f>
        <v>0</v>
      </c>
      <c r="C23" s="69" t="s">
        <v>7</v>
      </c>
      <c r="D23" s="70">
        <f>Z11</f>
        <v>0</v>
      </c>
      <c r="E23" s="71">
        <f>AE11</f>
        <v>0</v>
      </c>
      <c r="F23" s="69" t="s">
        <v>7</v>
      </c>
      <c r="G23" s="72">
        <f>AC11</f>
        <v>0</v>
      </c>
      <c r="H23" s="68">
        <f>AB14</f>
        <v>0</v>
      </c>
      <c r="I23" s="69" t="s">
        <v>7</v>
      </c>
      <c r="J23" s="70">
        <f>Z14</f>
        <v>0</v>
      </c>
      <c r="K23" s="71">
        <f>AE14</f>
        <v>0</v>
      </c>
      <c r="L23" s="69" t="s">
        <v>7</v>
      </c>
      <c r="M23" s="72">
        <f>AC14</f>
        <v>0</v>
      </c>
      <c r="N23" s="68">
        <f>AB17</f>
        <v>0</v>
      </c>
      <c r="O23" s="69" t="s">
        <v>7</v>
      </c>
      <c r="P23" s="70">
        <f>Z17</f>
        <v>0</v>
      </c>
      <c r="Q23" s="71">
        <f>AE17</f>
        <v>0</v>
      </c>
      <c r="R23" s="69" t="s">
        <v>7</v>
      </c>
      <c r="S23" s="72">
        <f>AC17</f>
        <v>0</v>
      </c>
      <c r="T23" s="68">
        <f>AB20</f>
        <v>0</v>
      </c>
      <c r="U23" s="69" t="s">
        <v>7</v>
      </c>
      <c r="V23" s="70">
        <f>Z20</f>
        <v>0</v>
      </c>
      <c r="W23" s="71">
        <f>AE20</f>
        <v>0</v>
      </c>
      <c r="X23" s="69" t="s">
        <v>7</v>
      </c>
      <c r="Y23" s="72">
        <f>AC20</f>
        <v>0</v>
      </c>
      <c r="Z23" s="926"/>
      <c r="AA23" s="927"/>
      <c r="AB23" s="927"/>
      <c r="AC23" s="927"/>
      <c r="AD23" s="927"/>
      <c r="AE23" s="928"/>
      <c r="AF23" s="55">
        <f>IF(E23="",0,+E23+IF(K23="",0,+K23+IF(Q23="",0,+Q23+IF(W23="",0,+W23))))</f>
        <v>0</v>
      </c>
      <c r="AG23" s="60" t="s">
        <v>7</v>
      </c>
      <c r="AH23" s="57">
        <f>IF(G23="",0,+G23+IF(M23="",0,+M23+IF(S23="",0,+S23+IF(Y23="",0,+Y23))))</f>
        <v>0</v>
      </c>
      <c r="AI23" s="45"/>
      <c r="AJ23" s="3"/>
      <c r="AK23" s="46"/>
      <c r="AL23" s="573"/>
      <c r="AM23" s="576"/>
      <c r="AN23" s="576">
        <f>AF23*100000</f>
        <v>0</v>
      </c>
      <c r="AO23" s="576">
        <f>(AF23-AH23)*1000000</f>
        <v>0</v>
      </c>
      <c r="AP23" s="584"/>
      <c r="AQ23" s="576">
        <f>AP24+AO23+AN23+AM22+AL22</f>
        <v>0</v>
      </c>
      <c r="AR23" s="947"/>
    </row>
    <row r="24" spans="1:44" ht="16.5" customHeight="1" thickBot="1">
      <c r="A24" s="936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0</v>
      </c>
      <c r="H24" s="73">
        <f>AB15</f>
        <v>0</v>
      </c>
      <c r="I24" s="74" t="s">
        <v>7</v>
      </c>
      <c r="J24" s="75">
        <f>Z15</f>
        <v>0</v>
      </c>
      <c r="K24" s="76">
        <f>AE15</f>
        <v>0</v>
      </c>
      <c r="L24" s="74" t="s">
        <v>7</v>
      </c>
      <c r="M24" s="77">
        <f>AC15</f>
        <v>0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0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0</v>
      </c>
      <c r="Z24" s="929"/>
      <c r="AA24" s="930"/>
      <c r="AB24" s="930"/>
      <c r="AC24" s="930"/>
      <c r="AD24" s="930"/>
      <c r="AE24" s="931"/>
      <c r="AF24" s="949">
        <f>AF22-AH22</f>
        <v>0</v>
      </c>
      <c r="AG24" s="950"/>
      <c r="AH24" s="951"/>
      <c r="AI24" s="81">
        <f>E24+K24+Q24+W24</f>
        <v>0</v>
      </c>
      <c r="AJ24" s="39" t="s">
        <v>7</v>
      </c>
      <c r="AK24" s="82">
        <f>G24+M24+S24+Y24</f>
        <v>0</v>
      </c>
      <c r="AL24" s="574"/>
      <c r="AM24" s="577"/>
      <c r="AN24" s="577"/>
      <c r="AO24" s="577"/>
      <c r="AP24" s="585">
        <f>AI24*10000000</f>
        <v>0</v>
      </c>
      <c r="AQ24" s="577"/>
      <c r="AR24" s="948"/>
    </row>
    <row r="25" ht="9" customHeight="1" thickTop="1"/>
    <row r="26" spans="32:44" s="10" customFormat="1" ht="18" customHeight="1" hidden="1">
      <c r="AF26" s="11">
        <f>AF10+AF13+AF16+AF19+AF22</f>
        <v>0</v>
      </c>
      <c r="AG26" s="11"/>
      <c r="AH26" s="11">
        <f>AH10+AH13+AH16+AH19+AH22</f>
        <v>0</v>
      </c>
      <c r="AI26" s="11"/>
      <c r="AJ26" s="11"/>
      <c r="AK26" s="11"/>
      <c r="AL26" s="575"/>
      <c r="AM26" s="575"/>
      <c r="AN26" s="586"/>
      <c r="AO26" s="575"/>
      <c r="AP26" s="575"/>
      <c r="AQ26" s="586"/>
      <c r="AR26" s="25">
        <f>IF(AR10="",0,AR10+AR13+AR16+AR19+AR22)</f>
        <v>0</v>
      </c>
    </row>
    <row r="27" spans="32:44" s="10" customFormat="1" ht="18" customHeight="1" hidden="1">
      <c r="AF27" s="11">
        <f>AF11+AF14+AF17+AF20+AF23</f>
        <v>0</v>
      </c>
      <c r="AG27" s="11"/>
      <c r="AH27" s="11">
        <f>AH11+AH14+AH17+AH20+AH23</f>
        <v>0</v>
      </c>
      <c r="AI27" s="11"/>
      <c r="AJ27" s="11"/>
      <c r="AK27" s="11"/>
      <c r="AL27" s="575"/>
      <c r="AM27" s="575"/>
      <c r="AN27" s="586"/>
      <c r="AO27" s="575"/>
      <c r="AP27" s="575"/>
      <c r="AQ27" s="586"/>
      <c r="AR27" s="25"/>
    </row>
    <row r="28" spans="32:44" s="10" customFormat="1" ht="18" customHeight="1" hidden="1">
      <c r="AF28" s="11"/>
      <c r="AG28" s="11"/>
      <c r="AH28" s="11"/>
      <c r="AI28" s="11">
        <f>AI12+AI15+AI18+AI21+AI24</f>
        <v>0</v>
      </c>
      <c r="AJ28" s="11"/>
      <c r="AK28" s="11">
        <f>AK12+AK15+AK18+AK21+AK24</f>
        <v>0</v>
      </c>
      <c r="AL28" s="575"/>
      <c r="AM28" s="575"/>
      <c r="AN28" s="586"/>
      <c r="AO28" s="575"/>
      <c r="AP28" s="575"/>
      <c r="AQ28" s="586"/>
      <c r="AR28" s="25"/>
    </row>
    <row r="29" spans="1:44" ht="23.25">
      <c r="A29" s="916" t="s">
        <v>45</v>
      </c>
      <c r="B29" s="916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916"/>
      <c r="T29" s="916"/>
      <c r="U29" s="916"/>
      <c r="V29" s="916"/>
      <c r="W29" s="916"/>
      <c r="X29" s="916"/>
      <c r="Y29" s="916"/>
      <c r="Z29" s="916"/>
      <c r="AA29" s="916"/>
      <c r="AB29" s="916"/>
      <c r="AC29" s="916"/>
      <c r="AD29" s="916"/>
      <c r="AE29" s="916"/>
      <c r="AF29" s="916"/>
      <c r="AG29" s="916"/>
      <c r="AH29" s="916"/>
      <c r="AI29" s="916"/>
      <c r="AJ29" s="916"/>
      <c r="AK29" s="916"/>
      <c r="AL29" s="916"/>
      <c r="AM29" s="916"/>
      <c r="AN29" s="916"/>
      <c r="AO29" s="916"/>
      <c r="AP29" s="916"/>
      <c r="AQ29" s="916"/>
      <c r="AR29" s="916"/>
    </row>
    <row r="30" ht="6" customHeight="1"/>
    <row r="31" spans="8:31" ht="20.25">
      <c r="H31" s="6" t="s">
        <v>40</v>
      </c>
      <c r="I31" s="6"/>
      <c r="J31" s="30">
        <f>IF(AR$10=1,A$10,IF(AR$13=1,A$13,IF(AR$16=1,A$16,IF(AR$19=1,A$19,IF(AR$22=1,A$22,"")))))</f>
      </c>
      <c r="K31" s="6"/>
      <c r="L31" s="6"/>
      <c r="M31" s="6"/>
      <c r="Z31" s="1">
        <f>IF(AR$10=1,AI$12,IF(AR$13=1,AI$15,IF(AR$16=1,AI$18,IF(AR$19=1,AI$21,IF(AR$22=1,AI$24,"")))))</f>
      </c>
      <c r="AA31" s="1" t="s">
        <v>7</v>
      </c>
      <c r="AB31" s="1">
        <f>IF(AR$10=1,AK$12,IF(AR$13=1,AK$15,IF(AR$16=1,AK$18,IF(AR$19=1,AK$21,IF(AR$22=1,AK$24,"")))))</f>
      </c>
      <c r="AC31" s="30"/>
      <c r="AD31" s="30"/>
      <c r="AE31" s="30"/>
    </row>
    <row r="32" spans="8:31" ht="20.25">
      <c r="H32" s="6" t="s">
        <v>41</v>
      </c>
      <c r="I32" s="6"/>
      <c r="J32" s="30">
        <f>IF(AR$10=2,A$10,IF(AR$13=2,A$13,IF(AR$16=2,A$16,IF(AR$19=2,A$19,IF(AR$22=2,A$22,"")))))</f>
      </c>
      <c r="K32" s="6"/>
      <c r="L32" s="6"/>
      <c r="M32" s="6"/>
      <c r="Z32" s="1">
        <f>IF(AR$10=2,AI$12,IF(AR$13=2,AI$15,IF(AR$16=2,AI$18,IF(AR$19=2,AI$21,IF(AR$22=2,AI$24,"")))))</f>
      </c>
      <c r="AA32" s="1" t="s">
        <v>7</v>
      </c>
      <c r="AB32" s="1">
        <f>IF(AR$10=2,AK$12,IF(AR$13=2,AK$15,IF(AR$16=2,AK$18,IF(AR$19=2,AK$21,IF(AR$22=2,AK$24,"")))))</f>
      </c>
      <c r="AC32" s="30"/>
      <c r="AD32" s="30"/>
      <c r="AE32" s="30"/>
    </row>
    <row r="33" spans="8:31" ht="20.25">
      <c r="H33" s="6" t="s">
        <v>42</v>
      </c>
      <c r="I33" s="6"/>
      <c r="J33" s="30">
        <f>IF(AR$10=3,A$10,IF(AR$13=3,A$13,IF(AR$16=3,A$16,IF(AR$19=3,A$19,IF(AR$22=3,A$22,"")))))</f>
      </c>
      <c r="K33" s="6"/>
      <c r="L33" s="6"/>
      <c r="M33" s="6"/>
      <c r="Z33" s="1">
        <f>IF(AR$10=3,AI$12,IF(AR$13=3,AI$15,IF(AR$16=3,AI$18,IF(AR$19=3,AI$21,IF(AR$22=3,AI$24,"")))))</f>
      </c>
      <c r="AA33" s="1" t="s">
        <v>7</v>
      </c>
      <c r="AB33" s="1">
        <f>IF(AR$10=3,AK$12,IF(AR$13=3,AK$15,IF(AR$16=3,AK$18,IF(AR$19=3,AK$21,IF(AR$22=3,AK$24,"")))))</f>
      </c>
      <c r="AC33" s="30"/>
      <c r="AD33" s="30"/>
      <c r="AE33" s="30"/>
    </row>
    <row r="34" spans="8:31" ht="20.25">
      <c r="H34" s="6" t="s">
        <v>43</v>
      </c>
      <c r="I34" s="6"/>
      <c r="J34" s="30">
        <f>IF(AR$10=4,A$10,IF(AR$13=4,A$13,IF(AR$16=4,A$16,IF(AR$19=4,A$19,IF(AR$22=4,A$22,"")))))</f>
      </c>
      <c r="K34" s="6"/>
      <c r="L34" s="6"/>
      <c r="M34" s="6"/>
      <c r="Z34" s="1">
        <f>IF(AR$10=4,AI$12,IF(AR$13=4,AI$15,IF(AR$16=4,AI$18,IF(AR$19=4,AI$21,IF(AR$22=4,AI$24,"")))))</f>
      </c>
      <c r="AA34" s="1" t="s">
        <v>7</v>
      </c>
      <c r="AB34" s="1">
        <f>IF(AR$10=4,AK$12,IF(AR$13=4,AK$15,IF(AR$16=4,AK$18,IF(AR$19=4,AK$21,IF(AR$22=4,AK$24,"")))))</f>
      </c>
      <c r="AC34" s="30"/>
      <c r="AD34" s="30"/>
      <c r="AE34" s="30"/>
    </row>
    <row r="35" spans="8:31" ht="20.25">
      <c r="H35" s="6" t="s">
        <v>44</v>
      </c>
      <c r="I35" s="6"/>
      <c r="J35" s="30">
        <f>IF(AR$10=5,A$10,IF(AR$13=5,A$13,IF(AR$16=5,A$16,IF(AR$19=5,A$19,IF(AR$22=5,A$22,"")))))</f>
      </c>
      <c r="K35" s="6"/>
      <c r="L35" s="6"/>
      <c r="M35" s="6"/>
      <c r="Z35" s="1">
        <f>IF(AR$10=5,AI$12,IF(AR$13=5,AI$15,IF(AR$16=5,AI$18,IF(AR$19=5,AI$21,IF(AR$22=5,AI$24,"")))))</f>
      </c>
      <c r="AA35" s="1" t="s">
        <v>7</v>
      </c>
      <c r="AB35" s="1">
        <f>IF(AR$10=5,AK$12,IF(AR$13=5,AK$15,IF(AR$16=5,AK$18,IF(AR$19=5,AK$21,IF(AR$22=5,AK$24,"")))))</f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6">
    <mergeCell ref="A16:A18"/>
    <mergeCell ref="AF7:AH7"/>
    <mergeCell ref="AF8:AH8"/>
    <mergeCell ref="AF9:AH9"/>
    <mergeCell ref="AF12:AH12"/>
    <mergeCell ref="B7:G9"/>
    <mergeCell ref="Z7:AE9"/>
    <mergeCell ref="T7:Y9"/>
    <mergeCell ref="A19:A21"/>
    <mergeCell ref="A13:A15"/>
    <mergeCell ref="B12:D12"/>
    <mergeCell ref="B10:D10"/>
    <mergeCell ref="A10:A12"/>
    <mergeCell ref="AR22:AR24"/>
    <mergeCell ref="AR10:AR12"/>
    <mergeCell ref="AR13:AR15"/>
    <mergeCell ref="E10:G10"/>
    <mergeCell ref="E11:G11"/>
    <mergeCell ref="AR16:AR18"/>
    <mergeCell ref="AR19:AR21"/>
    <mergeCell ref="AF21:AH21"/>
    <mergeCell ref="AF24:AH24"/>
    <mergeCell ref="AF15:AH15"/>
    <mergeCell ref="AR7:AR9"/>
    <mergeCell ref="AI9:AK9"/>
    <mergeCell ref="AF18:AH18"/>
    <mergeCell ref="C1:AH1"/>
    <mergeCell ref="C3:AH3"/>
    <mergeCell ref="T4:Z4"/>
    <mergeCell ref="AB4:AH4"/>
    <mergeCell ref="D4:N4"/>
    <mergeCell ref="N6:S6"/>
    <mergeCell ref="T6:Y6"/>
    <mergeCell ref="A5:P5"/>
    <mergeCell ref="H6:M6"/>
    <mergeCell ref="T5:AR5"/>
    <mergeCell ref="A29:AR29"/>
    <mergeCell ref="H7:M9"/>
    <mergeCell ref="N7:S9"/>
    <mergeCell ref="H13:M15"/>
    <mergeCell ref="N16:S18"/>
    <mergeCell ref="B11:D11"/>
    <mergeCell ref="A22:A24"/>
    <mergeCell ref="E12:G12"/>
    <mergeCell ref="Z22:AE24"/>
    <mergeCell ref="T19:Y21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R36"/>
  <sheetViews>
    <sheetView zoomScalePageLayoutView="0" workbookViewId="0" topLeftCell="A10">
      <selection activeCell="AR10" sqref="AR10:AR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67" hidden="1" customWidth="1"/>
    <col min="40" max="40" width="10.7109375" style="579" hidden="1" customWidth="1"/>
    <col min="41" max="42" width="15.7109375" style="567" hidden="1" customWidth="1"/>
    <col min="43" max="43" width="15.7109375" style="579" hidden="1" customWidth="1"/>
    <col min="44" max="44" width="9.140625" style="0" customWidth="1"/>
  </cols>
  <sheetData>
    <row r="1" spans="3:43" ht="30" customHeight="1">
      <c r="C1" s="678" t="s">
        <v>123</v>
      </c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32"/>
      <c r="AJ1" s="32"/>
      <c r="AK1" s="32"/>
      <c r="AL1" s="566"/>
      <c r="AM1" s="566"/>
      <c r="AN1" s="578"/>
      <c r="AO1" s="566"/>
      <c r="AP1" s="566"/>
      <c r="AQ1" s="578"/>
    </row>
    <row r="2" ht="8.25" customHeight="1"/>
    <row r="3" spans="3:43" ht="28.5" customHeight="1">
      <c r="C3" s="916" t="str">
        <f>IF(Mannschaften!D2="","",Mannschaften!D2)</f>
        <v> Deutsche Meisterschaft der Jugend  Feld   2019</v>
      </c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16"/>
      <c r="AI3" s="38"/>
      <c r="AJ3" s="38"/>
      <c r="AK3" s="38"/>
      <c r="AL3" s="568"/>
      <c r="AM3" s="568"/>
      <c r="AN3" s="580"/>
      <c r="AO3" s="568"/>
      <c r="AP3" s="568"/>
      <c r="AQ3" s="580"/>
    </row>
    <row r="4" spans="2:44" ht="18.75" customHeight="1">
      <c r="B4" s="27"/>
      <c r="C4" s="27"/>
      <c r="D4" s="941" t="str">
        <f>IF(Mannschaften!I4="","",Mannschaften!I4)</f>
        <v>Hallerstein</v>
      </c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27"/>
      <c r="P4" s="27"/>
      <c r="Q4" s="27"/>
      <c r="R4" s="27"/>
      <c r="S4" s="27"/>
      <c r="T4" s="939">
        <f>Mannschaften!P4</f>
        <v>43715</v>
      </c>
      <c r="U4" s="939"/>
      <c r="V4" s="939"/>
      <c r="W4" s="939"/>
      <c r="X4" s="939"/>
      <c r="Y4" s="939"/>
      <c r="Z4" s="939"/>
      <c r="AA4" s="27" t="s">
        <v>108</v>
      </c>
      <c r="AB4" s="940">
        <f>Mannschaften!T4</f>
        <v>43716</v>
      </c>
      <c r="AC4" s="940"/>
      <c r="AD4" s="940"/>
      <c r="AE4" s="940"/>
      <c r="AF4" s="940"/>
      <c r="AG4" s="940"/>
      <c r="AH4" s="940"/>
      <c r="AI4" s="40"/>
      <c r="AJ4" s="40"/>
      <c r="AK4" s="40"/>
      <c r="AL4" s="569"/>
      <c r="AM4" s="569"/>
      <c r="AN4" s="581"/>
      <c r="AO4" s="569"/>
      <c r="AP4" s="569"/>
      <c r="AQ4" s="581"/>
      <c r="AR4" s="27"/>
    </row>
    <row r="5" spans="1:44" ht="23.25" customHeight="1">
      <c r="A5" s="944" t="str">
        <f>Mannschaften!A5</f>
        <v>Ausrichter:     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36"/>
      <c r="R5" s="36"/>
      <c r="S5" s="36"/>
      <c r="T5" s="945" t="str">
        <f>IF(Mannschaften!N5="","",Mannschaften!N5)</f>
        <v>TSV Hallerstein</v>
      </c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N5" s="945"/>
      <c r="AO5" s="945"/>
      <c r="AP5" s="945"/>
      <c r="AQ5" s="945"/>
      <c r="AR5" s="945"/>
    </row>
    <row r="6" spans="8:25" ht="25.5" customHeight="1" thickBot="1">
      <c r="H6" s="942"/>
      <c r="I6" s="942"/>
      <c r="J6" s="942"/>
      <c r="K6" s="942"/>
      <c r="L6" s="942"/>
      <c r="M6" s="942"/>
      <c r="N6" s="942" t="str">
        <f>Mannschaften!K3</f>
        <v>m U18</v>
      </c>
      <c r="O6" s="942"/>
      <c r="P6" s="942"/>
      <c r="Q6" s="942"/>
      <c r="R6" s="942"/>
      <c r="S6" s="942"/>
      <c r="T6" s="942" t="s">
        <v>6</v>
      </c>
      <c r="U6" s="942"/>
      <c r="V6" s="942"/>
      <c r="W6" s="942"/>
      <c r="X6" s="942"/>
      <c r="Y6" s="942"/>
    </row>
    <row r="7" spans="1:44" ht="16.5" customHeight="1" thickTop="1">
      <c r="A7" s="5" t="s">
        <v>26</v>
      </c>
      <c r="B7" s="917" t="str">
        <f>'Spielplan-Sa'!T10</f>
        <v>TV Segnitz</v>
      </c>
      <c r="C7" s="918"/>
      <c r="D7" s="918"/>
      <c r="E7" s="918"/>
      <c r="F7" s="918"/>
      <c r="G7" s="919"/>
      <c r="H7" s="917" t="str">
        <f>'Spielplan-Sa'!T11</f>
        <v>TV Hallerstein</v>
      </c>
      <c r="I7" s="918"/>
      <c r="J7" s="918"/>
      <c r="K7" s="918"/>
      <c r="L7" s="918"/>
      <c r="M7" s="919"/>
      <c r="N7" s="917" t="str">
        <f>'Spielplan-Sa'!T12</f>
        <v>Ahlhorner SV</v>
      </c>
      <c r="O7" s="918"/>
      <c r="P7" s="918"/>
      <c r="Q7" s="918"/>
      <c r="R7" s="918"/>
      <c r="S7" s="919"/>
      <c r="T7" s="917" t="str">
        <f>'Spielplan-Sa'!T13</f>
        <v>TV Brettorf</v>
      </c>
      <c r="U7" s="918"/>
      <c r="V7" s="918"/>
      <c r="W7" s="918"/>
      <c r="X7" s="918"/>
      <c r="Y7" s="919"/>
      <c r="Z7" s="917" t="str">
        <f>'Spielplan-Sa'!T14</f>
        <v>TSV Lola</v>
      </c>
      <c r="AA7" s="918"/>
      <c r="AB7" s="918"/>
      <c r="AC7" s="918"/>
      <c r="AD7" s="918"/>
      <c r="AE7" s="919"/>
      <c r="AF7" s="962" t="s">
        <v>35</v>
      </c>
      <c r="AG7" s="963"/>
      <c r="AH7" s="964"/>
      <c r="AI7" s="43"/>
      <c r="AJ7" s="44"/>
      <c r="AK7" s="41"/>
      <c r="AL7" s="570" t="s">
        <v>314</v>
      </c>
      <c r="AM7" s="570" t="s">
        <v>315</v>
      </c>
      <c r="AN7" s="582" t="s">
        <v>316</v>
      </c>
      <c r="AO7" s="570" t="s">
        <v>317</v>
      </c>
      <c r="AP7" s="570" t="s">
        <v>318</v>
      </c>
      <c r="AQ7" s="582"/>
      <c r="AR7" s="952" t="s">
        <v>36</v>
      </c>
    </row>
    <row r="8" spans="1:44" ht="16.5" customHeight="1">
      <c r="A8" s="37"/>
      <c r="B8" s="920"/>
      <c r="C8" s="921"/>
      <c r="D8" s="921"/>
      <c r="E8" s="921"/>
      <c r="F8" s="921"/>
      <c r="G8" s="922"/>
      <c r="H8" s="920"/>
      <c r="I8" s="921"/>
      <c r="J8" s="921"/>
      <c r="K8" s="921"/>
      <c r="L8" s="921"/>
      <c r="M8" s="922"/>
      <c r="N8" s="920"/>
      <c r="O8" s="921"/>
      <c r="P8" s="921"/>
      <c r="Q8" s="921"/>
      <c r="R8" s="921"/>
      <c r="S8" s="922"/>
      <c r="T8" s="920"/>
      <c r="U8" s="921"/>
      <c r="V8" s="921"/>
      <c r="W8" s="921"/>
      <c r="X8" s="921"/>
      <c r="Y8" s="922"/>
      <c r="Z8" s="920"/>
      <c r="AA8" s="921"/>
      <c r="AB8" s="921"/>
      <c r="AC8" s="921"/>
      <c r="AD8" s="921"/>
      <c r="AE8" s="922"/>
      <c r="AF8" s="965" t="s">
        <v>134</v>
      </c>
      <c r="AG8" s="966"/>
      <c r="AH8" s="967"/>
      <c r="AI8" s="45"/>
      <c r="AJ8" s="3"/>
      <c r="AK8" s="46"/>
      <c r="AL8" s="571" t="s">
        <v>150</v>
      </c>
      <c r="AM8" s="571" t="s">
        <v>150</v>
      </c>
      <c r="AN8" s="583" t="s">
        <v>130</v>
      </c>
      <c r="AO8" s="571" t="s">
        <v>130</v>
      </c>
      <c r="AP8" s="571" t="s">
        <v>34</v>
      </c>
      <c r="AQ8" s="583" t="s">
        <v>36</v>
      </c>
      <c r="AR8" s="953"/>
    </row>
    <row r="9" spans="1:44" ht="16.5" customHeight="1" thickBot="1">
      <c r="A9" s="37"/>
      <c r="B9" s="920"/>
      <c r="C9" s="921"/>
      <c r="D9" s="921"/>
      <c r="E9" s="921"/>
      <c r="F9" s="921"/>
      <c r="G9" s="922"/>
      <c r="H9" s="920"/>
      <c r="I9" s="921"/>
      <c r="J9" s="921"/>
      <c r="K9" s="921"/>
      <c r="L9" s="921"/>
      <c r="M9" s="922"/>
      <c r="N9" s="920"/>
      <c r="O9" s="921"/>
      <c r="P9" s="921"/>
      <c r="Q9" s="921"/>
      <c r="R9" s="921"/>
      <c r="S9" s="922"/>
      <c r="T9" s="920"/>
      <c r="U9" s="921"/>
      <c r="V9" s="921"/>
      <c r="W9" s="921"/>
      <c r="X9" s="921"/>
      <c r="Y9" s="922"/>
      <c r="Z9" s="920"/>
      <c r="AA9" s="921"/>
      <c r="AB9" s="921"/>
      <c r="AC9" s="921"/>
      <c r="AD9" s="921"/>
      <c r="AE9" s="922"/>
      <c r="AF9" s="968" t="s">
        <v>342</v>
      </c>
      <c r="AG9" s="969"/>
      <c r="AH9" s="970"/>
      <c r="AI9" s="954" t="s">
        <v>34</v>
      </c>
      <c r="AJ9" s="955"/>
      <c r="AK9" s="956"/>
      <c r="AL9" s="571" t="s">
        <v>319</v>
      </c>
      <c r="AM9" s="571" t="s">
        <v>151</v>
      </c>
      <c r="AN9" s="583" t="s">
        <v>319</v>
      </c>
      <c r="AO9" s="571" t="s">
        <v>151</v>
      </c>
      <c r="AP9" s="571"/>
      <c r="AQ9" s="583" t="s">
        <v>152</v>
      </c>
      <c r="AR9" s="953"/>
    </row>
    <row r="10" spans="1:44" ht="16.5" customHeight="1" thickTop="1">
      <c r="A10" s="934" t="str">
        <f>B7</f>
        <v>TV Segnitz</v>
      </c>
      <c r="B10" s="958" t="s">
        <v>140</v>
      </c>
      <c r="C10" s="959"/>
      <c r="D10" s="959"/>
      <c r="E10" s="959" t="s">
        <v>35</v>
      </c>
      <c r="F10" s="959"/>
      <c r="G10" s="960"/>
      <c r="H10" s="62">
        <f>'Spielplan-Sa'!K21</f>
        <v>0</v>
      </c>
      <c r="I10" s="63" t="s">
        <v>7</v>
      </c>
      <c r="J10" s="64">
        <f>'Spielplan-Sa'!M21</f>
        <v>0</v>
      </c>
      <c r="K10" s="65">
        <f>'Spielplan-Sa'!AF21</f>
        <v>0</v>
      </c>
      <c r="L10" s="63" t="s">
        <v>7</v>
      </c>
      <c r="M10" s="66">
        <f>'Spielplan-Sa'!AH21</f>
        <v>0</v>
      </c>
      <c r="N10" s="67">
        <f>'Spielplan-Sa'!K35</f>
        <v>0</v>
      </c>
      <c r="O10" s="63" t="s">
        <v>7</v>
      </c>
      <c r="P10" s="64">
        <f>'Spielplan-Sa'!M35</f>
        <v>0</v>
      </c>
      <c r="Q10" s="65">
        <f>'Spielplan-Sa'!AF35</f>
        <v>0</v>
      </c>
      <c r="R10" s="63" t="s">
        <v>7</v>
      </c>
      <c r="S10" s="66">
        <f>'Spielplan-Sa'!AH35</f>
        <v>0</v>
      </c>
      <c r="T10" s="67">
        <f>'Spielplan-Sa'!K31</f>
        <v>0</v>
      </c>
      <c r="U10" s="63" t="s">
        <v>7</v>
      </c>
      <c r="V10" s="64">
        <f>'Spielplan-Sa'!M31</f>
        <v>0</v>
      </c>
      <c r="W10" s="65">
        <f>'Spielplan-Sa'!AF31</f>
        <v>0</v>
      </c>
      <c r="X10" s="63" t="s">
        <v>7</v>
      </c>
      <c r="Y10" s="66">
        <f>'Spielplan-Sa'!AH31</f>
        <v>0</v>
      </c>
      <c r="Z10" s="67">
        <f>'Spielplan-Sa'!K25</f>
        <v>0</v>
      </c>
      <c r="AA10" s="63" t="s">
        <v>7</v>
      </c>
      <c r="AB10" s="64">
        <f>'Spielplan-Sa'!M25</f>
        <v>0</v>
      </c>
      <c r="AC10" s="65">
        <f>'Spielplan-Sa'!AF25</f>
        <v>0</v>
      </c>
      <c r="AD10" s="63" t="s">
        <v>7</v>
      </c>
      <c r="AE10" s="66">
        <f>'Spielplan-Sa'!AH25</f>
        <v>0</v>
      </c>
      <c r="AF10" s="52">
        <f>IF(K10="",0,+K10+IF(Q10="",0,+Q10+IF(W10="",0,+W10+IF(AC10="",0,+AC10))))</f>
        <v>0</v>
      </c>
      <c r="AG10" s="53" t="s">
        <v>7</v>
      </c>
      <c r="AH10" s="54">
        <f>IF(M10="",0,+M10+IF(S10="",0,+S10+IF(Y10="",0,+Y10+IF(AE10="",0,+AE10))))</f>
        <v>0</v>
      </c>
      <c r="AI10" s="47"/>
      <c r="AJ10" s="48"/>
      <c r="AK10" s="48"/>
      <c r="AL10" s="572">
        <f>AF10</f>
        <v>0</v>
      </c>
      <c r="AM10" s="572">
        <f>(AF10-AH10)*1000</f>
        <v>0</v>
      </c>
      <c r="AN10" s="572"/>
      <c r="AO10" s="572"/>
      <c r="AP10" s="572"/>
      <c r="AQ10" s="572"/>
      <c r="AR10" s="946">
        <f>IF('Spielplan-Sa'!AL$39+'Spielplan-Sa'!AN$39=0,"",IF(AQ11="","",RANK(AQ11,AQ$11:AQ$23,0)))</f>
      </c>
    </row>
    <row r="11" spans="1:44" ht="16.5" customHeight="1">
      <c r="A11" s="935"/>
      <c r="B11" s="932" t="s">
        <v>132</v>
      </c>
      <c r="C11" s="933"/>
      <c r="D11" s="933"/>
      <c r="E11" s="933" t="s">
        <v>134</v>
      </c>
      <c r="F11" s="933"/>
      <c r="G11" s="961"/>
      <c r="H11" s="68">
        <f>'Spielplan-Sa'!N21</f>
        <v>0</v>
      </c>
      <c r="I11" s="69" t="s">
        <v>7</v>
      </c>
      <c r="J11" s="70">
        <f>'Spielplan-Sa'!P21</f>
        <v>0</v>
      </c>
      <c r="K11" s="71">
        <f>'Spielplan-Sa'!AI21</f>
        <v>0</v>
      </c>
      <c r="L11" s="69" t="s">
        <v>7</v>
      </c>
      <c r="M11" s="72">
        <f>'Spielplan-Sa'!AK21</f>
        <v>0</v>
      </c>
      <c r="N11" s="68">
        <f>'Spielplan-Sa'!N35</f>
        <v>0</v>
      </c>
      <c r="O11" s="69" t="s">
        <v>7</v>
      </c>
      <c r="P11" s="70">
        <f>'Spielplan-Sa'!P35</f>
        <v>0</v>
      </c>
      <c r="Q11" s="71">
        <f>'Spielplan-Sa'!AI35</f>
        <v>0</v>
      </c>
      <c r="R11" s="69" t="s">
        <v>7</v>
      </c>
      <c r="S11" s="72">
        <f>'Spielplan-Sa'!AK35</f>
        <v>0</v>
      </c>
      <c r="T11" s="68">
        <f>'Spielplan-Sa'!N31</f>
        <v>0</v>
      </c>
      <c r="U11" s="69" t="s">
        <v>7</v>
      </c>
      <c r="V11" s="70">
        <f>'Spielplan-Sa'!P31</f>
        <v>0</v>
      </c>
      <c r="W11" s="71">
        <f>'Spielplan-Sa'!AI31</f>
        <v>0</v>
      </c>
      <c r="X11" s="69" t="s">
        <v>7</v>
      </c>
      <c r="Y11" s="72">
        <f>'Spielplan-Sa'!AK31</f>
        <v>0</v>
      </c>
      <c r="Z11" s="68">
        <f>'Spielplan-Sa'!N25</f>
        <v>0</v>
      </c>
      <c r="AA11" s="69" t="s">
        <v>7</v>
      </c>
      <c r="AB11" s="70">
        <f>'Spielplan-Sa'!P25</f>
        <v>0</v>
      </c>
      <c r="AC11" s="71">
        <f>'Spielplan-Sa'!AI25</f>
        <v>0</v>
      </c>
      <c r="AD11" s="69" t="s">
        <v>7</v>
      </c>
      <c r="AE11" s="72">
        <f>'Spielplan-Sa'!AK25</f>
        <v>0</v>
      </c>
      <c r="AF11" s="55">
        <f>IF(K11="",0,+K11+IF(Q11="",0,+Q11+IF(W11="",0,+W11+IF(AC11="",0,+AC11))))</f>
        <v>0</v>
      </c>
      <c r="AG11" s="56" t="s">
        <v>7</v>
      </c>
      <c r="AH11" s="57">
        <f>IF(M11="",0,+M11+IF(S11="",0,+S11+IF(Y11="",0,+Y11+IF(AE11="",0,+AE11))))</f>
        <v>0</v>
      </c>
      <c r="AI11" s="45"/>
      <c r="AJ11" s="3"/>
      <c r="AK11" s="3"/>
      <c r="AL11" s="573"/>
      <c r="AM11" s="576"/>
      <c r="AN11" s="576">
        <f>AF11*100000</f>
        <v>0</v>
      </c>
      <c r="AO11" s="576">
        <f>(AF11-AH11)*1000000</f>
        <v>0</v>
      </c>
      <c r="AP11" s="584"/>
      <c r="AQ11" s="576">
        <f>AP12+AO11+AN11+AM10+AL10</f>
        <v>0</v>
      </c>
      <c r="AR11" s="947"/>
    </row>
    <row r="12" spans="1:44" ht="16.5" customHeight="1" thickBot="1">
      <c r="A12" s="936"/>
      <c r="B12" s="957" t="s">
        <v>133</v>
      </c>
      <c r="C12" s="937"/>
      <c r="D12" s="937"/>
      <c r="E12" s="937" t="s">
        <v>34</v>
      </c>
      <c r="F12" s="937"/>
      <c r="G12" s="938"/>
      <c r="H12" s="73">
        <f>'Spielplan-Sa'!Q21</f>
        <v>0</v>
      </c>
      <c r="I12" s="74" t="s">
        <v>7</v>
      </c>
      <c r="J12" s="75">
        <f>'Spielplan-Sa'!S21</f>
        <v>0</v>
      </c>
      <c r="K12" s="76">
        <f>'Spielplan-Sa'!AL21</f>
        <v>0</v>
      </c>
      <c r="L12" s="74" t="s">
        <v>7</v>
      </c>
      <c r="M12" s="77">
        <f>'Spielplan-Sa'!AN21</f>
        <v>0</v>
      </c>
      <c r="N12" s="73">
        <f>'Spielplan-Sa'!Q35</f>
        <v>0</v>
      </c>
      <c r="O12" s="74" t="s">
        <v>7</v>
      </c>
      <c r="P12" s="75">
        <f>'Spielplan-Sa'!S35</f>
        <v>0</v>
      </c>
      <c r="Q12" s="76">
        <f>'Spielplan-Sa'!AL35</f>
        <v>0</v>
      </c>
      <c r="R12" s="74" t="s">
        <v>7</v>
      </c>
      <c r="S12" s="77">
        <f>'Spielplan-Sa'!AN35</f>
        <v>0</v>
      </c>
      <c r="T12" s="73">
        <f>'Spielplan-Sa'!Q31</f>
        <v>0</v>
      </c>
      <c r="U12" s="74" t="s">
        <v>7</v>
      </c>
      <c r="V12" s="75">
        <f>'Spielplan-Sa'!S31</f>
        <v>0</v>
      </c>
      <c r="W12" s="76">
        <f>'Spielplan-Sa'!AL31</f>
        <v>0</v>
      </c>
      <c r="X12" s="74" t="s">
        <v>7</v>
      </c>
      <c r="Y12" s="77">
        <f>'Spielplan-Sa'!AN31</f>
        <v>0</v>
      </c>
      <c r="Z12" s="73">
        <f>'Spielplan-Sa'!Q25</f>
        <v>0</v>
      </c>
      <c r="AA12" s="74" t="s">
        <v>7</v>
      </c>
      <c r="AB12" s="75">
        <f>'Spielplan-Sa'!S25</f>
        <v>0</v>
      </c>
      <c r="AC12" s="76">
        <f>'Spielplan-Sa'!AL25</f>
        <v>0</v>
      </c>
      <c r="AD12" s="74" t="s">
        <v>7</v>
      </c>
      <c r="AE12" s="77">
        <f>'Spielplan-Sa'!AN25</f>
        <v>0</v>
      </c>
      <c r="AF12" s="949">
        <f>AF10-AH10</f>
        <v>0</v>
      </c>
      <c r="AG12" s="950"/>
      <c r="AH12" s="951"/>
      <c r="AI12" s="81">
        <f>K12+Q12+W12+AC12</f>
        <v>0</v>
      </c>
      <c r="AJ12" s="39" t="s">
        <v>7</v>
      </c>
      <c r="AK12" s="82">
        <f>M12+S12+Y12+AE12</f>
        <v>0</v>
      </c>
      <c r="AL12" s="574"/>
      <c r="AM12" s="577"/>
      <c r="AN12" s="577"/>
      <c r="AO12" s="577"/>
      <c r="AP12" s="585">
        <f>AI12*10000000</f>
        <v>0</v>
      </c>
      <c r="AQ12" s="577"/>
      <c r="AR12" s="948"/>
    </row>
    <row r="13" spans="1:44" ht="16.5" customHeight="1" thickTop="1">
      <c r="A13" s="934" t="str">
        <f>H7</f>
        <v>TV Hallerstein</v>
      </c>
      <c r="B13" s="67">
        <f>J10</f>
        <v>0</v>
      </c>
      <c r="C13" s="63" t="s">
        <v>7</v>
      </c>
      <c r="D13" s="78">
        <f>H10</f>
        <v>0</v>
      </c>
      <c r="E13" s="65">
        <f>M10</f>
        <v>0</v>
      </c>
      <c r="F13" s="63" t="s">
        <v>7</v>
      </c>
      <c r="G13" s="66">
        <f>K10</f>
        <v>0</v>
      </c>
      <c r="H13" s="923"/>
      <c r="I13" s="924"/>
      <c r="J13" s="924"/>
      <c r="K13" s="924"/>
      <c r="L13" s="924"/>
      <c r="M13" s="925"/>
      <c r="N13" s="67">
        <f>'Spielplan-Sa'!K39</f>
        <v>0</v>
      </c>
      <c r="O13" s="63" t="s">
        <v>7</v>
      </c>
      <c r="P13" s="64">
        <f>'Spielplan-Sa'!M39</f>
        <v>0</v>
      </c>
      <c r="Q13" s="65">
        <f>'Spielplan-Sa'!AF39</f>
        <v>0</v>
      </c>
      <c r="R13" s="63" t="s">
        <v>7</v>
      </c>
      <c r="S13" s="66">
        <f>'Spielplan-Sa'!AH39</f>
        <v>0</v>
      </c>
      <c r="T13" s="67">
        <f>'Spielplan-Sa'!K27</f>
        <v>0</v>
      </c>
      <c r="U13" s="63" t="s">
        <v>7</v>
      </c>
      <c r="V13" s="64">
        <f>'Spielplan-Sa'!M27</f>
        <v>0</v>
      </c>
      <c r="W13" s="65">
        <f>'Spielplan-Sa'!AF27</f>
        <v>0</v>
      </c>
      <c r="X13" s="63" t="s">
        <v>7</v>
      </c>
      <c r="Y13" s="66">
        <f>'Spielplan-Sa'!AH27</f>
        <v>0</v>
      </c>
      <c r="Z13" s="67">
        <f>'Spielplan-Sa'!K33</f>
        <v>0</v>
      </c>
      <c r="AA13" s="63" t="s">
        <v>7</v>
      </c>
      <c r="AB13" s="64">
        <f>'Spielplan-Sa'!M33</f>
        <v>0</v>
      </c>
      <c r="AC13" s="65">
        <f>'Spielplan-Sa'!AF33</f>
        <v>0</v>
      </c>
      <c r="AD13" s="63" t="s">
        <v>7</v>
      </c>
      <c r="AE13" s="65">
        <f>'Spielplan-Sa'!AH33</f>
        <v>0</v>
      </c>
      <c r="AF13" s="52">
        <f>IF(E13="",0,+E13+IF(Q13="",0,+Q13+IF(W13="",0,+W13+IF(AC13="",0,+AC13))))</f>
        <v>0</v>
      </c>
      <c r="AG13" s="59" t="s">
        <v>7</v>
      </c>
      <c r="AH13" s="54">
        <f>IF(G13="",0,+G13+IF(S13="",0,+S13+IF(Y13="",0,+Y13+IF(AE13="",0,+AE13))))</f>
        <v>0</v>
      </c>
      <c r="AI13" s="48"/>
      <c r="AJ13" s="48"/>
      <c r="AK13" s="42"/>
      <c r="AL13" s="572">
        <f>AF13</f>
        <v>0</v>
      </c>
      <c r="AM13" s="572">
        <f>(AF13-AH13)*1000</f>
        <v>0</v>
      </c>
      <c r="AN13" s="572"/>
      <c r="AO13" s="572"/>
      <c r="AP13" s="572"/>
      <c r="AQ13" s="572"/>
      <c r="AR13" s="946">
        <f>IF('Spielplan-Sa'!AL$39+'Spielplan-Sa'!AN$39=0,"",IF(AQ14="","",RANK(AQ14,AQ$11:AQ$23,0)))</f>
      </c>
    </row>
    <row r="14" spans="1:44" ht="16.5" customHeight="1">
      <c r="A14" s="935"/>
      <c r="B14" s="68">
        <f>J11</f>
        <v>0</v>
      </c>
      <c r="C14" s="69" t="s">
        <v>7</v>
      </c>
      <c r="D14" s="79">
        <f>H11</f>
        <v>0</v>
      </c>
      <c r="E14" s="71">
        <f>M11</f>
        <v>0</v>
      </c>
      <c r="F14" s="69" t="s">
        <v>7</v>
      </c>
      <c r="G14" s="72">
        <f>K11</f>
        <v>0</v>
      </c>
      <c r="H14" s="926"/>
      <c r="I14" s="927"/>
      <c r="J14" s="927"/>
      <c r="K14" s="927"/>
      <c r="L14" s="927"/>
      <c r="M14" s="928"/>
      <c r="N14" s="68">
        <f>'Spielplan-Sa'!N39</f>
        <v>0</v>
      </c>
      <c r="O14" s="69" t="s">
        <v>7</v>
      </c>
      <c r="P14" s="70">
        <f>'Spielplan-Sa'!P39</f>
        <v>0</v>
      </c>
      <c r="Q14" s="71">
        <f>'Spielplan-Sa'!AI39</f>
        <v>0</v>
      </c>
      <c r="R14" s="69" t="s">
        <v>7</v>
      </c>
      <c r="S14" s="72">
        <f>'Spielplan-Sa'!AK39</f>
        <v>0</v>
      </c>
      <c r="T14" s="68">
        <f>'Spielplan-Sa'!N27</f>
        <v>0</v>
      </c>
      <c r="U14" s="69" t="s">
        <v>7</v>
      </c>
      <c r="V14" s="70">
        <f>'Spielplan-Sa'!P27</f>
        <v>0</v>
      </c>
      <c r="W14" s="71">
        <f>'Spielplan-Sa'!AI27</f>
        <v>0</v>
      </c>
      <c r="X14" s="69" t="s">
        <v>7</v>
      </c>
      <c r="Y14" s="72">
        <f>'Spielplan-Sa'!AK27</f>
        <v>0</v>
      </c>
      <c r="Z14" s="68">
        <f>'Spielplan-Sa'!N33</f>
        <v>0</v>
      </c>
      <c r="AA14" s="69" t="s">
        <v>7</v>
      </c>
      <c r="AB14" s="70">
        <f>'Spielplan-Sa'!P33</f>
        <v>0</v>
      </c>
      <c r="AC14" s="71">
        <f>'Spielplan-Sa'!AI33</f>
        <v>0</v>
      </c>
      <c r="AD14" s="69" t="s">
        <v>7</v>
      </c>
      <c r="AE14" s="71">
        <f>'Spielplan-Sa'!AK33</f>
        <v>0</v>
      </c>
      <c r="AF14" s="55">
        <f>IF(E14="",0,+E14+IF(Q14="",0,+Q14+IF(W14="",0,+W14+IF(AC14="",0,+AC14))))</f>
        <v>0</v>
      </c>
      <c r="AG14" s="60" t="s">
        <v>7</v>
      </c>
      <c r="AH14" s="57">
        <f>IF(G14="",0,+G14+IF(S14="",0,+S14+IF(Y14="",0,+Y14+IF(AE14="",0,+AE14))))</f>
        <v>0</v>
      </c>
      <c r="AI14" s="3"/>
      <c r="AJ14" s="3"/>
      <c r="AK14" s="46"/>
      <c r="AL14" s="573"/>
      <c r="AM14" s="576"/>
      <c r="AN14" s="576">
        <f>AF14*100000</f>
        <v>0</v>
      </c>
      <c r="AO14" s="576">
        <f>(AF14-AH14)*1000000</f>
        <v>0</v>
      </c>
      <c r="AP14" s="584"/>
      <c r="AQ14" s="576">
        <f>AP15+AO14+AN14+AM13+AL13</f>
        <v>0</v>
      </c>
      <c r="AR14" s="947"/>
    </row>
    <row r="15" spans="1:44" ht="16.5" customHeight="1" thickBot="1">
      <c r="A15" s="936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0</v>
      </c>
      <c r="H15" s="929"/>
      <c r="I15" s="930"/>
      <c r="J15" s="930"/>
      <c r="K15" s="930"/>
      <c r="L15" s="930"/>
      <c r="M15" s="931"/>
      <c r="N15" s="73">
        <f>'Spielplan-Sa'!Q39</f>
        <v>0</v>
      </c>
      <c r="O15" s="74" t="s">
        <v>7</v>
      </c>
      <c r="P15" s="75">
        <f>'Spielplan-Sa'!S39</f>
        <v>0</v>
      </c>
      <c r="Q15" s="76">
        <f>'Spielplan-Sa'!AL39</f>
        <v>0</v>
      </c>
      <c r="R15" s="74" t="s">
        <v>7</v>
      </c>
      <c r="S15" s="77">
        <f>'Spielplan-Sa'!AN39</f>
        <v>0</v>
      </c>
      <c r="T15" s="73">
        <f>'Spielplan-Sa'!Q27</f>
        <v>0</v>
      </c>
      <c r="U15" s="74" t="s">
        <v>7</v>
      </c>
      <c r="V15" s="75">
        <f>'Spielplan-Sa'!S27</f>
        <v>0</v>
      </c>
      <c r="W15" s="76">
        <f>'Spielplan-Sa'!AL27</f>
        <v>0</v>
      </c>
      <c r="X15" s="74" t="s">
        <v>7</v>
      </c>
      <c r="Y15" s="77">
        <f>'Spielplan-Sa'!AN27</f>
        <v>0</v>
      </c>
      <c r="Z15" s="73">
        <f>'Spielplan-Sa'!Q33</f>
        <v>0</v>
      </c>
      <c r="AA15" s="74" t="s">
        <v>7</v>
      </c>
      <c r="AB15" s="75">
        <f>'Spielplan-Sa'!S33</f>
        <v>0</v>
      </c>
      <c r="AC15" s="76">
        <f>'Spielplan-Sa'!AL33</f>
        <v>0</v>
      </c>
      <c r="AD15" s="74" t="s">
        <v>7</v>
      </c>
      <c r="AE15" s="76">
        <f>'Spielplan-Sa'!AN33</f>
        <v>0</v>
      </c>
      <c r="AF15" s="949">
        <f>AF13-AH13</f>
        <v>0</v>
      </c>
      <c r="AG15" s="950"/>
      <c r="AH15" s="951"/>
      <c r="AI15" s="82">
        <f>E15+Q15+W15+AC15</f>
        <v>0</v>
      </c>
      <c r="AJ15" s="39" t="s">
        <v>7</v>
      </c>
      <c r="AK15" s="82">
        <f>G15+S15+Y15+AE15</f>
        <v>0</v>
      </c>
      <c r="AL15" s="574"/>
      <c r="AM15" s="577"/>
      <c r="AN15" s="577"/>
      <c r="AO15" s="577"/>
      <c r="AP15" s="585">
        <f>AI15*10000000</f>
        <v>0</v>
      </c>
      <c r="AQ15" s="577"/>
      <c r="AR15" s="948"/>
    </row>
    <row r="16" spans="1:44" ht="16.5" customHeight="1" thickTop="1">
      <c r="A16" s="934" t="str">
        <f>N7</f>
        <v>Ahlhorner SV</v>
      </c>
      <c r="B16" s="67">
        <f>P10</f>
        <v>0</v>
      </c>
      <c r="C16" s="63" t="s">
        <v>7</v>
      </c>
      <c r="D16" s="64">
        <f>N10</f>
        <v>0</v>
      </c>
      <c r="E16" s="65">
        <f>S10</f>
        <v>0</v>
      </c>
      <c r="F16" s="63" t="s">
        <v>7</v>
      </c>
      <c r="G16" s="66">
        <f>Q10</f>
        <v>0</v>
      </c>
      <c r="H16" s="67">
        <f>P13</f>
        <v>0</v>
      </c>
      <c r="I16" s="63" t="s">
        <v>7</v>
      </c>
      <c r="J16" s="64">
        <f>N13</f>
        <v>0</v>
      </c>
      <c r="K16" s="65">
        <f>S13</f>
        <v>0</v>
      </c>
      <c r="L16" s="63" t="s">
        <v>7</v>
      </c>
      <c r="M16" s="66">
        <f>Q13</f>
        <v>0</v>
      </c>
      <c r="N16" s="923"/>
      <c r="O16" s="924"/>
      <c r="P16" s="924"/>
      <c r="Q16" s="924"/>
      <c r="R16" s="924"/>
      <c r="S16" s="925"/>
      <c r="T16" s="67">
        <f>'Spielplan-Sa'!K23</f>
        <v>0</v>
      </c>
      <c r="U16" s="63" t="s">
        <v>7</v>
      </c>
      <c r="V16" s="64">
        <f>'Spielplan-Sa'!M23</f>
        <v>0</v>
      </c>
      <c r="W16" s="65">
        <f>'Spielplan-Sa'!AF23</f>
        <v>0</v>
      </c>
      <c r="X16" s="63" t="s">
        <v>7</v>
      </c>
      <c r="Y16" s="66">
        <f>'Spielplan-Sa'!AH23</f>
        <v>0</v>
      </c>
      <c r="Z16" s="67">
        <f>'Spielplan-Sa'!K29</f>
        <v>0</v>
      </c>
      <c r="AA16" s="63" t="s">
        <v>7</v>
      </c>
      <c r="AB16" s="64">
        <f>'Spielplan-Sa'!M29</f>
        <v>0</v>
      </c>
      <c r="AC16" s="65">
        <f>'Spielplan-Sa'!AF29</f>
        <v>0</v>
      </c>
      <c r="AD16" s="63" t="s">
        <v>7</v>
      </c>
      <c r="AE16" s="65">
        <f>'Spielplan-Sa'!AH29</f>
        <v>0</v>
      </c>
      <c r="AF16" s="557">
        <f>IF(E16="",0,+E16+IF(K16="",0,+K16+IF(W16="",0,+W16+IF(AC16="",0,+AC16))))</f>
        <v>0</v>
      </c>
      <c r="AG16" s="558" t="s">
        <v>7</v>
      </c>
      <c r="AH16" s="559">
        <f>IF(G16="",0,+G16+IF(M16="",0,+M16+IF(Y16="",0,+Y16+IF(AE16="",0,+AE16))))</f>
        <v>0</v>
      </c>
      <c r="AI16" s="48"/>
      <c r="AJ16" s="48"/>
      <c r="AK16" s="42"/>
      <c r="AL16" s="572">
        <f>AF16</f>
        <v>0</v>
      </c>
      <c r="AM16" s="572">
        <f>(AF16-AH16)*1000</f>
        <v>0</v>
      </c>
      <c r="AN16" s="572"/>
      <c r="AO16" s="572"/>
      <c r="AP16" s="572"/>
      <c r="AQ16" s="572"/>
      <c r="AR16" s="946">
        <f>IF('Spielplan-Sa'!AL$39+'Spielplan-Sa'!AN$39=0,"",IF(AQ17="","",RANK(AQ17,AQ$11:AQ$23,0)))</f>
      </c>
    </row>
    <row r="17" spans="1:44" ht="16.5" customHeight="1">
      <c r="A17" s="935"/>
      <c r="B17" s="68">
        <f>P11</f>
        <v>0</v>
      </c>
      <c r="C17" s="69" t="s">
        <v>7</v>
      </c>
      <c r="D17" s="70">
        <f>N11</f>
        <v>0</v>
      </c>
      <c r="E17" s="71">
        <f>S11</f>
        <v>0</v>
      </c>
      <c r="F17" s="69" t="s">
        <v>7</v>
      </c>
      <c r="G17" s="72">
        <f>Q11</f>
        <v>0</v>
      </c>
      <c r="H17" s="68">
        <f>P14</f>
        <v>0</v>
      </c>
      <c r="I17" s="69" t="s">
        <v>7</v>
      </c>
      <c r="J17" s="70">
        <f>N14</f>
        <v>0</v>
      </c>
      <c r="K17" s="71">
        <f>S14</f>
        <v>0</v>
      </c>
      <c r="L17" s="69" t="s">
        <v>7</v>
      </c>
      <c r="M17" s="72">
        <f>Q14</f>
        <v>0</v>
      </c>
      <c r="N17" s="926"/>
      <c r="O17" s="927"/>
      <c r="P17" s="927"/>
      <c r="Q17" s="927"/>
      <c r="R17" s="927"/>
      <c r="S17" s="928"/>
      <c r="T17" s="68">
        <f>'Spielplan-Sa'!N23</f>
        <v>0</v>
      </c>
      <c r="U17" s="69" t="s">
        <v>7</v>
      </c>
      <c r="V17" s="70">
        <f>'Spielplan-Sa'!P23</f>
        <v>0</v>
      </c>
      <c r="W17" s="71">
        <f>'Spielplan-Sa'!AI23</f>
        <v>0</v>
      </c>
      <c r="X17" s="69" t="s">
        <v>7</v>
      </c>
      <c r="Y17" s="72">
        <f>'Spielplan-Sa'!AK23</f>
        <v>0</v>
      </c>
      <c r="Z17" s="68">
        <f>'Spielplan-Sa'!N29</f>
        <v>0</v>
      </c>
      <c r="AA17" s="69" t="s">
        <v>7</v>
      </c>
      <c r="AB17" s="70">
        <f>'Spielplan-Sa'!P29</f>
        <v>0</v>
      </c>
      <c r="AC17" s="71">
        <f>'Spielplan-Sa'!AI29</f>
        <v>0</v>
      </c>
      <c r="AD17" s="69" t="s">
        <v>7</v>
      </c>
      <c r="AE17" s="71">
        <f>'Spielplan-Sa'!AK29</f>
        <v>0</v>
      </c>
      <c r="AF17" s="55">
        <f>IF(E17="",0,+E17+IF(K17="",0,+K17+IF(W17="",0,+W17+IF(AC17="",0,+AC17))))</f>
        <v>0</v>
      </c>
      <c r="AG17" s="60" t="s">
        <v>7</v>
      </c>
      <c r="AH17" s="57">
        <f>IF(G17="",0,+G17+IF(M17="",0,+M17+IF(Y17="",0,+Y17+IF(AE17="",0,+AE17))))</f>
        <v>0</v>
      </c>
      <c r="AI17" s="3"/>
      <c r="AJ17" s="3"/>
      <c r="AK17" s="46"/>
      <c r="AL17" s="573"/>
      <c r="AM17" s="576"/>
      <c r="AN17" s="576">
        <f>AF17*100000</f>
        <v>0</v>
      </c>
      <c r="AO17" s="576">
        <f>(AF17-AH17)*1000000</f>
        <v>0</v>
      </c>
      <c r="AP17" s="584"/>
      <c r="AQ17" s="576">
        <f>AP18+AO17+AN17+AM16+AL16</f>
        <v>0</v>
      </c>
      <c r="AR17" s="947"/>
    </row>
    <row r="18" spans="1:44" ht="16.5" customHeight="1" thickBot="1">
      <c r="A18" s="936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0</v>
      </c>
      <c r="L18" s="74" t="s">
        <v>7</v>
      </c>
      <c r="M18" s="77">
        <f>Q15</f>
        <v>0</v>
      </c>
      <c r="N18" s="929"/>
      <c r="O18" s="930"/>
      <c r="P18" s="930"/>
      <c r="Q18" s="930"/>
      <c r="R18" s="930"/>
      <c r="S18" s="931"/>
      <c r="T18" s="73">
        <f>'Spielplan-Sa'!Q23</f>
        <v>0</v>
      </c>
      <c r="U18" s="74" t="s">
        <v>7</v>
      </c>
      <c r="V18" s="75">
        <f>'Spielplan-Sa'!S23</f>
        <v>0</v>
      </c>
      <c r="W18" s="76">
        <f>'Spielplan-Sa'!AL23</f>
        <v>0</v>
      </c>
      <c r="X18" s="74" t="s">
        <v>7</v>
      </c>
      <c r="Y18" s="77">
        <f>'Spielplan-Sa'!AN23</f>
        <v>0</v>
      </c>
      <c r="Z18" s="73">
        <f>'Spielplan-Sa'!Q29</f>
        <v>0</v>
      </c>
      <c r="AA18" s="74" t="s">
        <v>7</v>
      </c>
      <c r="AB18" s="75">
        <f>'Spielplan-Sa'!S29</f>
        <v>0</v>
      </c>
      <c r="AC18" s="76">
        <f>'Spielplan-Sa'!AL29</f>
        <v>0</v>
      </c>
      <c r="AD18" s="74" t="s">
        <v>7</v>
      </c>
      <c r="AE18" s="76">
        <f>'Spielplan-Sa'!AN29</f>
        <v>0</v>
      </c>
      <c r="AF18" s="949">
        <f>AF16-AH16</f>
        <v>0</v>
      </c>
      <c r="AG18" s="950"/>
      <c r="AH18" s="951"/>
      <c r="AI18" s="82">
        <f>E18+K18+W18+AC18</f>
        <v>0</v>
      </c>
      <c r="AJ18" s="39" t="s">
        <v>7</v>
      </c>
      <c r="AK18" s="82">
        <f>G18+M18+Y18+AE18</f>
        <v>0</v>
      </c>
      <c r="AL18" s="574"/>
      <c r="AM18" s="577"/>
      <c r="AN18" s="577"/>
      <c r="AO18" s="577"/>
      <c r="AP18" s="585">
        <f>AI18*10000000</f>
        <v>0</v>
      </c>
      <c r="AQ18" s="577"/>
      <c r="AR18" s="948"/>
    </row>
    <row r="19" spans="1:44" ht="16.5" customHeight="1" thickTop="1">
      <c r="A19" s="934" t="str">
        <f>T7</f>
        <v>TV Brettorf</v>
      </c>
      <c r="B19" s="67">
        <f>V10</f>
        <v>0</v>
      </c>
      <c r="C19" s="63" t="s">
        <v>7</v>
      </c>
      <c r="D19" s="64">
        <f>T10</f>
        <v>0</v>
      </c>
      <c r="E19" s="65">
        <f>Y10</f>
        <v>0</v>
      </c>
      <c r="F19" s="63" t="s">
        <v>7</v>
      </c>
      <c r="G19" s="66">
        <f>W10</f>
        <v>0</v>
      </c>
      <c r="H19" s="67">
        <f>V13</f>
        <v>0</v>
      </c>
      <c r="I19" s="63" t="s">
        <v>7</v>
      </c>
      <c r="J19" s="64">
        <f>T13</f>
        <v>0</v>
      </c>
      <c r="K19" s="65">
        <f>Y13</f>
        <v>0</v>
      </c>
      <c r="L19" s="63" t="s">
        <v>7</v>
      </c>
      <c r="M19" s="66">
        <f>W13</f>
        <v>0</v>
      </c>
      <c r="N19" s="67">
        <f>V16</f>
        <v>0</v>
      </c>
      <c r="O19" s="63" t="s">
        <v>7</v>
      </c>
      <c r="P19" s="64">
        <f>T16</f>
        <v>0</v>
      </c>
      <c r="Q19" s="65">
        <f>Y16</f>
        <v>0</v>
      </c>
      <c r="R19" s="63" t="s">
        <v>7</v>
      </c>
      <c r="S19" s="66">
        <f>W16</f>
        <v>0</v>
      </c>
      <c r="T19" s="923"/>
      <c r="U19" s="924"/>
      <c r="V19" s="924"/>
      <c r="W19" s="924"/>
      <c r="X19" s="924"/>
      <c r="Y19" s="925"/>
      <c r="Z19" s="67">
        <f>'Spielplan-Sa'!K37</f>
        <v>0</v>
      </c>
      <c r="AA19" s="63" t="s">
        <v>7</v>
      </c>
      <c r="AB19" s="64">
        <f>'Spielplan-Sa'!M37</f>
        <v>0</v>
      </c>
      <c r="AC19" s="65">
        <f>'Spielplan-Sa'!AF37</f>
        <v>0</v>
      </c>
      <c r="AD19" s="63" t="s">
        <v>7</v>
      </c>
      <c r="AE19" s="65">
        <f>'Spielplan-Sa'!AH37</f>
        <v>0</v>
      </c>
      <c r="AF19" s="557">
        <f>IF(E19="",0,+E19+IF(K19="",0,+K19+IF(Q19="",0,+Q19+IF(AC19="",0,+AC19))))</f>
        <v>0</v>
      </c>
      <c r="AG19" s="558" t="s">
        <v>7</v>
      </c>
      <c r="AH19" s="559">
        <f>IF(G19="",0,+G19+IF(M19="",0,+M19+IF(S19="",0,+S19+IF(AE19="",0,+AE19))))</f>
        <v>0</v>
      </c>
      <c r="AI19" s="48"/>
      <c r="AJ19" s="48"/>
      <c r="AK19" s="42"/>
      <c r="AL19" s="572">
        <f>AF19</f>
        <v>0</v>
      </c>
      <c r="AM19" s="572">
        <f>(AF19-AH19)*1000</f>
        <v>0</v>
      </c>
      <c r="AN19" s="572"/>
      <c r="AO19" s="572"/>
      <c r="AP19" s="572"/>
      <c r="AQ19" s="572"/>
      <c r="AR19" s="946">
        <f>IF('Spielplan-Sa'!AL$39+'Spielplan-Sa'!AN$39=0,"",IF(AQ20="","",RANK(AQ20,AQ$11:AQ$23,0)))</f>
      </c>
    </row>
    <row r="20" spans="1:44" ht="16.5" customHeight="1">
      <c r="A20" s="935"/>
      <c r="B20" s="68">
        <f>V11</f>
        <v>0</v>
      </c>
      <c r="C20" s="69" t="s">
        <v>7</v>
      </c>
      <c r="D20" s="70">
        <f>T11</f>
        <v>0</v>
      </c>
      <c r="E20" s="71">
        <f>Y11</f>
        <v>0</v>
      </c>
      <c r="F20" s="69" t="s">
        <v>7</v>
      </c>
      <c r="G20" s="72">
        <f>W11</f>
        <v>0</v>
      </c>
      <c r="H20" s="68">
        <f>V14</f>
        <v>0</v>
      </c>
      <c r="I20" s="69" t="s">
        <v>7</v>
      </c>
      <c r="J20" s="70">
        <f>T14</f>
        <v>0</v>
      </c>
      <c r="K20" s="71">
        <f>Y14</f>
        <v>0</v>
      </c>
      <c r="L20" s="69" t="s">
        <v>7</v>
      </c>
      <c r="M20" s="72">
        <f>W14</f>
        <v>0</v>
      </c>
      <c r="N20" s="68">
        <f>V17</f>
        <v>0</v>
      </c>
      <c r="O20" s="69" t="s">
        <v>7</v>
      </c>
      <c r="P20" s="70">
        <f>T17</f>
        <v>0</v>
      </c>
      <c r="Q20" s="71">
        <f>Y17</f>
        <v>0</v>
      </c>
      <c r="R20" s="69" t="s">
        <v>7</v>
      </c>
      <c r="S20" s="72">
        <f>W17</f>
        <v>0</v>
      </c>
      <c r="T20" s="926"/>
      <c r="U20" s="927"/>
      <c r="V20" s="927"/>
      <c r="W20" s="927"/>
      <c r="X20" s="927"/>
      <c r="Y20" s="928"/>
      <c r="Z20" s="68">
        <f>'Spielplan-Sa'!N37</f>
        <v>0</v>
      </c>
      <c r="AA20" s="69" t="s">
        <v>7</v>
      </c>
      <c r="AB20" s="70">
        <f>'Spielplan-Sa'!P37</f>
        <v>0</v>
      </c>
      <c r="AC20" s="71">
        <f>'Spielplan-Sa'!AI37</f>
        <v>0</v>
      </c>
      <c r="AD20" s="69" t="s">
        <v>7</v>
      </c>
      <c r="AE20" s="71">
        <f>'Spielplan-Sa'!AK37</f>
        <v>0</v>
      </c>
      <c r="AF20" s="55">
        <f>IF(E20="",0,+E20+IF(K20="",0,+K20+IF(Q20="",0,+Q20+IF(AC20="",0,+AC20))))</f>
        <v>0</v>
      </c>
      <c r="AG20" s="60" t="s">
        <v>7</v>
      </c>
      <c r="AH20" s="57">
        <f>IF(G20="",0,+G20+IF(M20="",0,+M20+IF(S20="",0,+S20+IF(AE20="",0,+AE20))))</f>
        <v>0</v>
      </c>
      <c r="AI20" s="3"/>
      <c r="AJ20" s="3"/>
      <c r="AK20" s="46"/>
      <c r="AL20" s="573"/>
      <c r="AM20" s="576"/>
      <c r="AN20" s="576">
        <f>AF20*100000</f>
        <v>0</v>
      </c>
      <c r="AO20" s="576">
        <f>(AF20-AH20)*1000000</f>
        <v>0</v>
      </c>
      <c r="AP20" s="584"/>
      <c r="AQ20" s="576">
        <f>AP21+AO20+AN20+AM19+AL19</f>
        <v>0</v>
      </c>
      <c r="AR20" s="947"/>
    </row>
    <row r="21" spans="1:44" ht="16.5" customHeight="1" thickBot="1">
      <c r="A21" s="936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0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0</v>
      </c>
      <c r="T21" s="929"/>
      <c r="U21" s="930"/>
      <c r="V21" s="930"/>
      <c r="W21" s="930"/>
      <c r="X21" s="930"/>
      <c r="Y21" s="931"/>
      <c r="Z21" s="73">
        <f>'Spielplan-Sa'!Q37</f>
        <v>0</v>
      </c>
      <c r="AA21" s="74" t="s">
        <v>7</v>
      </c>
      <c r="AB21" s="75">
        <f>'Spielplan-Sa'!S37</f>
        <v>0</v>
      </c>
      <c r="AC21" s="76">
        <f>'Spielplan-Sa'!AL37</f>
        <v>0</v>
      </c>
      <c r="AD21" s="74" t="s">
        <v>7</v>
      </c>
      <c r="AE21" s="76">
        <f>'Spielplan-Sa'!AN37</f>
        <v>0</v>
      </c>
      <c r="AF21" s="949">
        <f>AF19-AH19</f>
        <v>0</v>
      </c>
      <c r="AG21" s="950"/>
      <c r="AH21" s="951"/>
      <c r="AI21" s="82">
        <f>E21+K21+Q21+AC21</f>
        <v>0</v>
      </c>
      <c r="AJ21" s="39" t="s">
        <v>7</v>
      </c>
      <c r="AK21" s="82">
        <f>G21+M21+S21+AE21</f>
        <v>0</v>
      </c>
      <c r="AL21" s="574"/>
      <c r="AM21" s="577"/>
      <c r="AN21" s="577"/>
      <c r="AO21" s="577"/>
      <c r="AP21" s="585">
        <f>AI21*10000000</f>
        <v>0</v>
      </c>
      <c r="AQ21" s="577"/>
      <c r="AR21" s="948"/>
    </row>
    <row r="22" spans="1:44" ht="16.5" customHeight="1" thickTop="1">
      <c r="A22" s="934" t="str">
        <f>Z7</f>
        <v>TSV Lola</v>
      </c>
      <c r="B22" s="67">
        <f>AB10</f>
        <v>0</v>
      </c>
      <c r="C22" s="63" t="s">
        <v>7</v>
      </c>
      <c r="D22" s="64">
        <f>Z10</f>
        <v>0</v>
      </c>
      <c r="E22" s="65">
        <f>AE10</f>
        <v>0</v>
      </c>
      <c r="F22" s="63" t="s">
        <v>7</v>
      </c>
      <c r="G22" s="66">
        <f>AC10</f>
        <v>0</v>
      </c>
      <c r="H22" s="67">
        <f>AB13</f>
        <v>0</v>
      </c>
      <c r="I22" s="63" t="s">
        <v>7</v>
      </c>
      <c r="J22" s="64">
        <f>Z13</f>
        <v>0</v>
      </c>
      <c r="K22" s="65">
        <f>AE13</f>
        <v>0</v>
      </c>
      <c r="L22" s="63" t="s">
        <v>7</v>
      </c>
      <c r="M22" s="66">
        <f>AC13</f>
        <v>0</v>
      </c>
      <c r="N22" s="67">
        <f>AB16</f>
        <v>0</v>
      </c>
      <c r="O22" s="63" t="s">
        <v>7</v>
      </c>
      <c r="P22" s="64">
        <f>Z16</f>
        <v>0</v>
      </c>
      <c r="Q22" s="65">
        <f>AE16</f>
        <v>0</v>
      </c>
      <c r="R22" s="63" t="s">
        <v>7</v>
      </c>
      <c r="S22" s="66">
        <f>AC16</f>
        <v>0</v>
      </c>
      <c r="T22" s="67">
        <f>AB19</f>
        <v>0</v>
      </c>
      <c r="U22" s="63" t="s">
        <v>7</v>
      </c>
      <c r="V22" s="64">
        <f>Z19</f>
        <v>0</v>
      </c>
      <c r="W22" s="65">
        <f>AE19</f>
        <v>0</v>
      </c>
      <c r="X22" s="63" t="s">
        <v>7</v>
      </c>
      <c r="Y22" s="66">
        <f>AC19</f>
        <v>0</v>
      </c>
      <c r="Z22" s="923"/>
      <c r="AA22" s="924"/>
      <c r="AB22" s="924"/>
      <c r="AC22" s="924"/>
      <c r="AD22" s="924"/>
      <c r="AE22" s="924"/>
      <c r="AF22" s="557">
        <f>IF(E22="",0,+E22+IF(K22="",0,+K22+IF(Q22="",0,+Q22+IF(W22="",0,+W22))))</f>
        <v>0</v>
      </c>
      <c r="AG22" s="558" t="s">
        <v>7</v>
      </c>
      <c r="AH22" s="559">
        <f>IF(G22="",0,+G22+IF(M22="",0,+M22+IF(S22="",0,+S22+IF(Y22="",0,+Y22))))</f>
        <v>0</v>
      </c>
      <c r="AI22" s="48"/>
      <c r="AJ22" s="48"/>
      <c r="AK22" s="42"/>
      <c r="AL22" s="572">
        <f>AF22</f>
        <v>0</v>
      </c>
      <c r="AM22" s="572">
        <f>(AF22-AH22)*1000</f>
        <v>0</v>
      </c>
      <c r="AN22" s="572"/>
      <c r="AO22" s="572"/>
      <c r="AP22" s="572"/>
      <c r="AQ22" s="572"/>
      <c r="AR22" s="946">
        <f>IF('Spielplan-Sa'!AL$39+'Spielplan-Sa'!AN$39=0,"",IF(AQ23="","",RANK(AQ23,AQ$11:AQ$23,0)))</f>
      </c>
    </row>
    <row r="23" spans="1:44" ht="16.5" customHeight="1">
      <c r="A23" s="935"/>
      <c r="B23" s="68">
        <f>AB11</f>
        <v>0</v>
      </c>
      <c r="C23" s="69" t="s">
        <v>7</v>
      </c>
      <c r="D23" s="70">
        <f>Z11</f>
        <v>0</v>
      </c>
      <c r="E23" s="71">
        <f>AE11</f>
        <v>0</v>
      </c>
      <c r="F23" s="69" t="s">
        <v>7</v>
      </c>
      <c r="G23" s="72">
        <f>AC11</f>
        <v>0</v>
      </c>
      <c r="H23" s="68">
        <f>AB14</f>
        <v>0</v>
      </c>
      <c r="I23" s="69" t="s">
        <v>7</v>
      </c>
      <c r="J23" s="70">
        <f>Z14</f>
        <v>0</v>
      </c>
      <c r="K23" s="71">
        <f>AE14</f>
        <v>0</v>
      </c>
      <c r="L23" s="69" t="s">
        <v>7</v>
      </c>
      <c r="M23" s="72">
        <f>AC14</f>
        <v>0</v>
      </c>
      <c r="N23" s="68">
        <f>AB17</f>
        <v>0</v>
      </c>
      <c r="O23" s="69" t="s">
        <v>7</v>
      </c>
      <c r="P23" s="70">
        <f>Z17</f>
        <v>0</v>
      </c>
      <c r="Q23" s="71">
        <f>AE17</f>
        <v>0</v>
      </c>
      <c r="R23" s="69" t="s">
        <v>7</v>
      </c>
      <c r="S23" s="72">
        <f>AC17</f>
        <v>0</v>
      </c>
      <c r="T23" s="68">
        <f>AB20</f>
        <v>0</v>
      </c>
      <c r="U23" s="69" t="s">
        <v>7</v>
      </c>
      <c r="V23" s="70">
        <f>Z20</f>
        <v>0</v>
      </c>
      <c r="W23" s="71">
        <f>AE20</f>
        <v>0</v>
      </c>
      <c r="X23" s="69" t="s">
        <v>7</v>
      </c>
      <c r="Y23" s="72">
        <f>AC20</f>
        <v>0</v>
      </c>
      <c r="Z23" s="926"/>
      <c r="AA23" s="927"/>
      <c r="AB23" s="927"/>
      <c r="AC23" s="927"/>
      <c r="AD23" s="927"/>
      <c r="AE23" s="927"/>
      <c r="AF23" s="55">
        <f>IF(E23="",0,+E23+IF(K23="",0,+K23+IF(Q23="",0,+Q23+IF(W23="",0,+W23))))</f>
        <v>0</v>
      </c>
      <c r="AG23" s="60" t="s">
        <v>7</v>
      </c>
      <c r="AH23" s="57">
        <f>IF(G23="",0,+G23+IF(M23="",0,+M23+IF(S23="",0,+S23+IF(Y23="",0,+Y23))))</f>
        <v>0</v>
      </c>
      <c r="AI23" s="3"/>
      <c r="AJ23" s="3"/>
      <c r="AK23" s="46"/>
      <c r="AL23" s="573"/>
      <c r="AM23" s="576"/>
      <c r="AN23" s="576">
        <f>AF23*100000</f>
        <v>0</v>
      </c>
      <c r="AO23" s="576">
        <f>(AF23-AH23)*1000000</f>
        <v>0</v>
      </c>
      <c r="AP23" s="584"/>
      <c r="AQ23" s="576">
        <f>AP24+AO23+AN23+AM22+AL22</f>
        <v>0</v>
      </c>
      <c r="AR23" s="947"/>
    </row>
    <row r="24" spans="1:44" ht="16.5" customHeight="1" thickBot="1">
      <c r="A24" s="936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0</v>
      </c>
      <c r="H24" s="73">
        <f>AB15</f>
        <v>0</v>
      </c>
      <c r="I24" s="74" t="s">
        <v>7</v>
      </c>
      <c r="J24" s="75">
        <f>Z15</f>
        <v>0</v>
      </c>
      <c r="K24" s="76">
        <f>AE15</f>
        <v>0</v>
      </c>
      <c r="L24" s="74" t="s">
        <v>7</v>
      </c>
      <c r="M24" s="77">
        <f>AC15</f>
        <v>0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0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0</v>
      </c>
      <c r="Z24" s="929"/>
      <c r="AA24" s="930"/>
      <c r="AB24" s="930"/>
      <c r="AC24" s="930"/>
      <c r="AD24" s="930"/>
      <c r="AE24" s="930"/>
      <c r="AF24" s="949">
        <f>AF22-AH22</f>
        <v>0</v>
      </c>
      <c r="AG24" s="950"/>
      <c r="AH24" s="951"/>
      <c r="AI24" s="82">
        <f>E24+K24+Q24+W24</f>
        <v>0</v>
      </c>
      <c r="AJ24" s="39" t="s">
        <v>7</v>
      </c>
      <c r="AK24" s="82">
        <f>G24+M24+S24+Y24</f>
        <v>0</v>
      </c>
      <c r="AL24" s="574"/>
      <c r="AM24" s="577"/>
      <c r="AN24" s="577"/>
      <c r="AO24" s="577"/>
      <c r="AP24" s="585">
        <f>AI24*10000000</f>
        <v>0</v>
      </c>
      <c r="AQ24" s="577"/>
      <c r="AR24" s="948"/>
    </row>
    <row r="25" ht="9" customHeight="1" thickTop="1"/>
    <row r="26" spans="32:44" s="10" customFormat="1" ht="18" customHeight="1" hidden="1">
      <c r="AF26" s="11">
        <f>AF10+AF13+AF16+AF19+AF22</f>
        <v>0</v>
      </c>
      <c r="AG26" s="11"/>
      <c r="AH26" s="11">
        <f>AH10+AH13+AH16+AH19+AH22</f>
        <v>0</v>
      </c>
      <c r="AI26" s="11"/>
      <c r="AJ26" s="11"/>
      <c r="AK26" s="11"/>
      <c r="AL26" s="575"/>
      <c r="AM26" s="575"/>
      <c r="AN26" s="586"/>
      <c r="AO26" s="575"/>
      <c r="AP26" s="575"/>
      <c r="AQ26" s="586"/>
      <c r="AR26" s="25">
        <f>IF(AR10="",0,AR10+AR13+AR16+AR19+AR22)</f>
        <v>0</v>
      </c>
    </row>
    <row r="27" spans="32:44" s="10" customFormat="1" ht="18" customHeight="1" hidden="1">
      <c r="AF27" s="11">
        <f>AF11+AF14+AF17+AF20+AF23</f>
        <v>0</v>
      </c>
      <c r="AG27" s="11"/>
      <c r="AH27" s="11">
        <f>AH11+AH14+AH17+AH20+AH23</f>
        <v>0</v>
      </c>
      <c r="AI27" s="11"/>
      <c r="AJ27" s="11"/>
      <c r="AK27" s="11"/>
      <c r="AL27" s="575"/>
      <c r="AM27" s="575"/>
      <c r="AN27" s="586"/>
      <c r="AO27" s="575"/>
      <c r="AP27" s="575"/>
      <c r="AQ27" s="586"/>
      <c r="AR27" s="11"/>
    </row>
    <row r="28" spans="32:44" s="10" customFormat="1" ht="18" customHeight="1" hidden="1">
      <c r="AF28" s="11"/>
      <c r="AG28" s="11"/>
      <c r="AH28" s="11"/>
      <c r="AI28" s="11">
        <f>AI12+AI15+AI18+AI21+AI24</f>
        <v>0</v>
      </c>
      <c r="AJ28" s="11"/>
      <c r="AK28" s="11">
        <f>AK12+AK15+AK18+AK21+AK24</f>
        <v>0</v>
      </c>
      <c r="AL28" s="575"/>
      <c r="AM28" s="575"/>
      <c r="AN28" s="586"/>
      <c r="AO28" s="575"/>
      <c r="AP28" s="575"/>
      <c r="AQ28" s="586"/>
      <c r="AR28" s="11"/>
    </row>
    <row r="29" spans="1:44" ht="23.25">
      <c r="A29" s="916" t="s">
        <v>46</v>
      </c>
      <c r="B29" s="916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916"/>
      <c r="T29" s="916"/>
      <c r="U29" s="916"/>
      <c r="V29" s="916"/>
      <c r="W29" s="916"/>
      <c r="X29" s="916"/>
      <c r="Y29" s="916"/>
      <c r="Z29" s="916"/>
      <c r="AA29" s="916"/>
      <c r="AB29" s="916"/>
      <c r="AC29" s="916"/>
      <c r="AD29" s="916"/>
      <c r="AE29" s="916"/>
      <c r="AF29" s="916"/>
      <c r="AG29" s="916"/>
      <c r="AH29" s="916"/>
      <c r="AI29" s="916"/>
      <c r="AJ29" s="916"/>
      <c r="AK29" s="916"/>
      <c r="AL29" s="916"/>
      <c r="AM29" s="916"/>
      <c r="AN29" s="916"/>
      <c r="AO29" s="916"/>
      <c r="AP29" s="916"/>
      <c r="AQ29" s="916"/>
      <c r="AR29" s="916"/>
    </row>
    <row r="30" ht="6" customHeight="1"/>
    <row r="31" spans="8:31" ht="20.25">
      <c r="H31" s="6" t="s">
        <v>40</v>
      </c>
      <c r="I31" s="6"/>
      <c r="J31" s="30">
        <f>IF(AR$10=1,A$10,IF(AR$13=1,A$13,IF(AR$16=1,A$16,IF(AR$19=1,A$19,IF(AR$22=1,A$22,"")))))</f>
      </c>
      <c r="K31" s="6"/>
      <c r="L31" s="6"/>
      <c r="M31" s="6"/>
      <c r="Z31" s="219">
        <f>IF(AR$10=1,AI$12,IF(AR$13=1,AI$15,IF(AR$16=1,AI$18,IF(AR$19=1,AI$21,IF(AR$22=1,AI$24,"")))))</f>
      </c>
      <c r="AA31" s="219" t="s">
        <v>7</v>
      </c>
      <c r="AB31" s="219">
        <f>IF(AR$10=1,AK$12,IF(AR$13=1,AK$15,IF(AR$16=1,AK$18,IF(AR$19=1,AK$21,IF(AR$22=1,AK$24,"")))))</f>
      </c>
      <c r="AC31" s="30"/>
      <c r="AD31" s="30"/>
      <c r="AE31" s="30"/>
    </row>
    <row r="32" spans="8:31" ht="20.25">
      <c r="H32" s="6" t="s">
        <v>41</v>
      </c>
      <c r="I32" s="6"/>
      <c r="J32" s="30">
        <f>IF(AR$10=2,A$10,IF(AR$13=2,A$13,IF(AR$16=2,A$16,IF(AR$19=2,A$19,IF(AR$22=2,A$22,"")))))</f>
      </c>
      <c r="K32" s="6"/>
      <c r="L32" s="6"/>
      <c r="M32" s="6"/>
      <c r="Z32" s="219">
        <f>IF(AR$10=2,AI$12,IF(AR$13=2,AI$15,IF(AR$16=2,AI$18,IF(AR$19=2,AI$21,IF(AR$22=2,AI$24,"")))))</f>
      </c>
      <c r="AA32" s="219" t="s">
        <v>7</v>
      </c>
      <c r="AB32" s="219">
        <f>IF(AR$10=2,AK$12,IF(AR$13=2,AK$15,IF(AR$16=2,AK$18,IF(AR$19=2,AK$21,IF(AR$22=2,AK$24,"")))))</f>
      </c>
      <c r="AC32" s="30"/>
      <c r="AD32" s="30"/>
      <c r="AE32" s="30"/>
    </row>
    <row r="33" spans="8:31" ht="20.25">
      <c r="H33" s="6" t="s">
        <v>42</v>
      </c>
      <c r="I33" s="6"/>
      <c r="J33" s="30">
        <f>IF(AR$10=3,A$10,IF(AR$13=3,A$13,IF(AR$16=3,A$16,IF(AR$19=3,A$19,IF(AR$22=3,A$22,"")))))</f>
      </c>
      <c r="K33" s="6"/>
      <c r="L33" s="6"/>
      <c r="M33" s="6"/>
      <c r="Z33" s="219">
        <f>IF(AR$10=3,AI$12,IF(AR$13=3,AI$15,IF(AR$16=3,AI$18,IF(AR$19=3,AI$21,IF(AR$22=3,AI$24,"")))))</f>
      </c>
      <c r="AA33" s="219" t="s">
        <v>7</v>
      </c>
      <c r="AB33" s="219">
        <f>IF(AR$10=3,AK$12,IF(AR$13=3,AK$15,IF(AR$16=3,AK$18,IF(AR$19=3,AK$21,IF(AR$22=3,AK$24,"")))))</f>
      </c>
      <c r="AC33" s="30"/>
      <c r="AD33" s="30"/>
      <c r="AE33" s="30"/>
    </row>
    <row r="34" spans="8:31" ht="20.25">
      <c r="H34" s="6" t="s">
        <v>43</v>
      </c>
      <c r="I34" s="6"/>
      <c r="J34" s="30">
        <f>IF(AR$10=4,A$10,IF(AR$13=4,A$13,IF(AR$16=4,A$16,IF(AR$19=4,A$19,IF(AR$22=4,A$22,"")))))</f>
      </c>
      <c r="K34" s="6"/>
      <c r="L34" s="6"/>
      <c r="M34" s="6"/>
      <c r="Z34" s="219">
        <f>IF(AR$10=4,AI$12,IF(AR$13=4,AI$15,IF(AR$16=4,AI$18,IF(AR$19=4,AI$21,IF(AR$22=4,AI$24,"")))))</f>
      </c>
      <c r="AA34" s="219" t="s">
        <v>7</v>
      </c>
      <c r="AB34" s="219">
        <f>IF(AR$10=4,AK$12,IF(AR$13=4,AK$15,IF(AR$16=4,AK$18,IF(AR$19=4,AK$21,IF(AR$22=4,AK$24,"")))))</f>
      </c>
      <c r="AC34" s="30"/>
      <c r="AD34" s="30"/>
      <c r="AE34" s="30"/>
    </row>
    <row r="35" spans="8:31" ht="20.25">
      <c r="H35" s="6" t="s">
        <v>44</v>
      </c>
      <c r="I35" s="6"/>
      <c r="J35" s="30">
        <f>IF(AR$10=5,A$10,IF(AR$13=5,A$13,IF(AR$16=5,A$16,IF(AR$19=5,A$19,IF(AR$22=5,A$22,"")))))</f>
      </c>
      <c r="K35" s="6"/>
      <c r="L35" s="6"/>
      <c r="M35" s="6"/>
      <c r="Z35" s="219">
        <f>IF(AR$10=5,AI$12,IF(AR$13=5,AI$15,IF(AR$16=5,AI$18,IF(AR$19=5,AI$21,IF(AR$22=5,AI$24,"")))))</f>
      </c>
      <c r="AA35" s="219" t="s">
        <v>7</v>
      </c>
      <c r="AB35" s="219">
        <f>IF(AR$10=5,AK$12,IF(AR$13=5,AK$15,IF(AR$16=5,AK$18,IF(AR$19=5,AK$21,IF(AR$22=5,AK$24,"")))))</f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6">
    <mergeCell ref="AF18:AH18"/>
    <mergeCell ref="AF21:AH21"/>
    <mergeCell ref="AF24:AH24"/>
    <mergeCell ref="H6:M6"/>
    <mergeCell ref="N7:S9"/>
    <mergeCell ref="T7:Y9"/>
    <mergeCell ref="Z7:AE9"/>
    <mergeCell ref="T6:Y6"/>
    <mergeCell ref="N6:S6"/>
    <mergeCell ref="B12:D12"/>
    <mergeCell ref="B7:G9"/>
    <mergeCell ref="C1:AH1"/>
    <mergeCell ref="C3:AH3"/>
    <mergeCell ref="D4:N4"/>
    <mergeCell ref="T4:Z4"/>
    <mergeCell ref="AB4:AH4"/>
    <mergeCell ref="A5:P5"/>
    <mergeCell ref="T5:AR5"/>
    <mergeCell ref="H7:M9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AR16:AR18"/>
    <mergeCell ref="AR7:AR9"/>
    <mergeCell ref="AF8:AH8"/>
    <mergeCell ref="AI9:AK9"/>
    <mergeCell ref="AR10:AR12"/>
    <mergeCell ref="AR13:AR15"/>
    <mergeCell ref="AF7:AH7"/>
    <mergeCell ref="AF9:AH9"/>
    <mergeCell ref="AF12:AH12"/>
    <mergeCell ref="AF15:AH15"/>
    <mergeCell ref="A29:AR29"/>
    <mergeCell ref="A19:A21"/>
    <mergeCell ref="T19:Y21"/>
    <mergeCell ref="AR19:AR21"/>
    <mergeCell ref="A22:A24"/>
    <mergeCell ref="Z22:AE24"/>
    <mergeCell ref="AR22:AR24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Guenter</cp:lastModifiedBy>
  <cp:lastPrinted>2018-09-16T10:26:29Z</cp:lastPrinted>
  <dcterms:created xsi:type="dcterms:W3CDTF">2006-09-04T11:05:59Z</dcterms:created>
  <dcterms:modified xsi:type="dcterms:W3CDTF">2019-08-12T11:16:55Z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